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050" windowWidth="16605" windowHeight="7680" activeTab="0"/>
  </bookViews>
  <sheets>
    <sheet name="Introduction" sheetId="1" r:id="rId1"/>
    <sheet name="Executive Summary" sheetId="2" r:id="rId2"/>
    <sheet name="Input Page" sheetId="3" r:id="rId3"/>
    <sheet name="Projected Savings" sheetId="4" r:id="rId4"/>
    <sheet name="Assumptions" sheetId="5" r:id="rId5"/>
  </sheets>
  <definedNames>
    <definedName name="baseline_energy_cost">'Input Page'!$B$16</definedName>
    <definedName name="Electricity_inflation_assumption">'Assumptions'!$A$34</definedName>
    <definedName name="energy_cost_assumption">'Assumptions'!$A$4</definedName>
    <definedName name="energy_reduction_factor">'Input Page'!$B$25</definedName>
    <definedName name="ERF_assumption">'Assumptions'!$A$7</definedName>
    <definedName name="hours_day">'Input Page'!$B$23</definedName>
    <definedName name="hours_year">'Input Page'!$B$24</definedName>
    <definedName name="instal_time">'Input Page'!$B$27</definedName>
    <definedName name="labor_inflation_assumption">'Assumptions'!$A$31</definedName>
    <definedName name="labour_cost">'Input Page'!$B$17</definedName>
    <definedName name="labour_cost_assumption">'Assumptions'!$A$19</definedName>
    <definedName name="labour_time_assumption">'Assumptions'!$A$23</definedName>
    <definedName name="No_Machines">'Input Page'!$B$21</definedName>
    <definedName name="Power_Usage">'Input Page'!$B$22</definedName>
    <definedName name="Risk_free_RR">'Input Page'!$A$18</definedName>
    <definedName name="ROT_assumption">'Assumptions'!$A$27</definedName>
    <definedName name="Sensor_cost">'Input Page'!$B$26</definedName>
    <definedName name="sensor_cost_assumption">'Assumptions'!$A$11</definedName>
    <definedName name="warranty_assumption">'Assumptions'!$A$15</definedName>
    <definedName name="year1_energy_cost">'Input Page'!$C$16</definedName>
    <definedName name="year10_energy_cost">'Input Page'!$L$16</definedName>
    <definedName name="year11_energy_cost">'Input Page'!$M$16</definedName>
    <definedName name="year12_energy_cost">'Input Page'!$N$16</definedName>
    <definedName name="year13_energy_cost">'Input Page'!$O$16</definedName>
    <definedName name="year14_energy_cost">'Input Page'!$P$16</definedName>
    <definedName name="year15_energy_cost">'Input Page'!$Q$16</definedName>
    <definedName name="year2_energy_cost">'Input Page'!$D$16</definedName>
    <definedName name="year3_energy_cost">'Input Page'!$E$16</definedName>
    <definedName name="year4_energy_cost">'Input Page'!$F$16</definedName>
    <definedName name="year5_energy_cost">'Input Page'!$G$16</definedName>
    <definedName name="year6_energy_cost">'Input Page'!$H$16</definedName>
    <definedName name="year7_energy_cost">'Input Page'!$I$16</definedName>
    <definedName name="year8_energy_cost">'Input Page'!$J$16</definedName>
    <definedName name="year9_energy_cost">'Input Page'!$K$16</definedName>
  </definedNames>
  <calcPr fullCalcOnLoad="1"/>
</workbook>
</file>

<file path=xl/sharedStrings.xml><?xml version="1.0" encoding="utf-8"?>
<sst xmlns="http://schemas.openxmlformats.org/spreadsheetml/2006/main" count="196" uniqueCount="134">
  <si>
    <t>º Remove lightbulbs or replace current lightbulb with more energy efficient device (ie. CFL )</t>
  </si>
  <si>
    <t>Operation Values</t>
  </si>
  <si>
    <t>Normal Energy Usage (kWh / Year)</t>
  </si>
  <si>
    <t>Modified Energy Usage (kWh / Year)</t>
  </si>
  <si>
    <t>Modified Operating Cost ($ / Year)</t>
  </si>
  <si>
    <t>Modified Energy Savings (kWh / Year)</t>
  </si>
  <si>
    <t>3 year</t>
  </si>
  <si>
    <t>4 year</t>
  </si>
  <si>
    <t>5 year</t>
  </si>
  <si>
    <t>6 year</t>
  </si>
  <si>
    <t>7 year</t>
  </si>
  <si>
    <t>8 year</t>
  </si>
  <si>
    <t>9 year</t>
  </si>
  <si>
    <t>10 year</t>
  </si>
  <si>
    <t>11 year</t>
  </si>
  <si>
    <t>12 year</t>
  </si>
  <si>
    <t>13 year</t>
  </si>
  <si>
    <t>14 year</t>
  </si>
  <si>
    <t>Risk Free Rate of Return Curve Fit Analysis</t>
  </si>
  <si>
    <t xml:space="preserve">Total Cash Savings: </t>
  </si>
  <si>
    <t xml:space="preserve">Baseline </t>
  </si>
  <si>
    <t>Annual Cash Flow</t>
  </si>
  <si>
    <r>
      <t>Total CO</t>
    </r>
    <r>
      <rPr>
        <vertAlign val="subscript"/>
        <sz val="11"/>
        <color indexed="8"/>
        <rFont val="Calibri"/>
        <family val="2"/>
      </rPr>
      <t xml:space="preserve">2 </t>
    </r>
    <r>
      <rPr>
        <sz val="11"/>
        <color indexed="8"/>
        <rFont val="Calibri"/>
        <family val="2"/>
      </rPr>
      <t>Reduction:</t>
    </r>
  </si>
  <si>
    <t>5 Years</t>
  </si>
  <si>
    <t xml:space="preserve">10 Years </t>
  </si>
  <si>
    <t>Cumulative Cash Savings ($)</t>
  </si>
  <si>
    <t>14 Years</t>
  </si>
  <si>
    <r>
      <t>Cumulative CO</t>
    </r>
    <r>
      <rPr>
        <b/>
        <vertAlign val="subscript"/>
        <sz val="11"/>
        <color indexed="8"/>
        <rFont val="Calibri"/>
        <family val="2"/>
      </rPr>
      <t>2</t>
    </r>
    <r>
      <rPr>
        <b/>
        <sz val="11"/>
        <color indexed="8"/>
        <rFont val="Calibri"/>
        <family val="2"/>
      </rPr>
      <t xml:space="preserve"> Savings (kg)</t>
    </r>
  </si>
  <si>
    <t>Payback Period (years)</t>
  </si>
  <si>
    <r>
      <t>Annual CO</t>
    </r>
    <r>
      <rPr>
        <b/>
        <vertAlign val="subscript"/>
        <sz val="11"/>
        <color indexed="8"/>
        <rFont val="Calibri"/>
        <family val="2"/>
      </rPr>
      <t>2</t>
    </r>
    <r>
      <rPr>
        <b/>
        <sz val="11"/>
        <color indexed="8"/>
        <rFont val="Calibri"/>
        <family val="2"/>
      </rPr>
      <t xml:space="preserve"> Savings (kg</t>
    </r>
    <r>
      <rPr>
        <b/>
        <sz val="11"/>
        <color indexed="8"/>
        <rFont val="Calibri"/>
        <family val="2"/>
      </rPr>
      <t>)</t>
    </r>
  </si>
  <si>
    <r>
      <t xml:space="preserve">All </t>
    </r>
    <r>
      <rPr>
        <b/>
        <i/>
        <u val="single"/>
        <sz val="11"/>
        <color indexed="24"/>
        <rFont val="Calibri"/>
        <family val="2"/>
      </rPr>
      <t>blue</t>
    </r>
    <r>
      <rPr>
        <b/>
        <i/>
        <u val="single"/>
        <sz val="11"/>
        <color indexed="8"/>
        <rFont val="Calibri"/>
        <family val="2"/>
      </rPr>
      <t xml:space="preserve"> cells are required information</t>
    </r>
  </si>
  <si>
    <t>Installation / Replacement Cost ($)</t>
  </si>
  <si>
    <t>Labor Inflation</t>
  </si>
  <si>
    <t>$30.13 / h</t>
  </si>
  <si>
    <t>Table of risk free rates of return for assumption number 7:</t>
  </si>
  <si>
    <t>10 Year IRR</t>
  </si>
  <si>
    <t>Economic Analysis</t>
  </si>
  <si>
    <t>14 Year IRR</t>
  </si>
  <si>
    <r>
      <t>Normal CO</t>
    </r>
    <r>
      <rPr>
        <b/>
        <vertAlign val="subscript"/>
        <sz val="11"/>
        <color indexed="8"/>
        <rFont val="Calibri"/>
        <family val="2"/>
      </rPr>
      <t xml:space="preserve">2 </t>
    </r>
    <r>
      <rPr>
        <b/>
        <sz val="11"/>
        <color indexed="8"/>
        <rFont val="Calibri"/>
        <family val="2"/>
      </rPr>
      <t>Emissions (kg)</t>
    </r>
  </si>
  <si>
    <r>
      <t>Modified CO</t>
    </r>
    <r>
      <rPr>
        <b/>
        <vertAlign val="subscript"/>
        <sz val="11"/>
        <color indexed="8"/>
        <rFont val="Calibri"/>
        <family val="2"/>
      </rPr>
      <t>2</t>
    </r>
    <r>
      <rPr>
        <b/>
        <sz val="11"/>
        <color indexed="8"/>
        <rFont val="Calibri"/>
        <family val="2"/>
      </rPr>
      <t xml:space="preserve"> Emissions (kg)</t>
    </r>
  </si>
  <si>
    <r>
      <t>Annual CO</t>
    </r>
    <r>
      <rPr>
        <b/>
        <vertAlign val="subscript"/>
        <sz val="11"/>
        <color indexed="8"/>
        <rFont val="Calibri"/>
        <family val="2"/>
      </rPr>
      <t>2</t>
    </r>
    <r>
      <rPr>
        <b/>
        <sz val="11"/>
        <color indexed="8"/>
        <rFont val="Calibri"/>
        <family val="2"/>
      </rPr>
      <t xml:space="preserve"> Reduction (kg)</t>
    </r>
  </si>
  <si>
    <t>Annual Net Cash Flow ($)</t>
  </si>
  <si>
    <t>Cumulative Net Cash Flow ($)</t>
  </si>
  <si>
    <t>Annual Savings ($)</t>
  </si>
  <si>
    <r>
      <t>Cumulative CO</t>
    </r>
    <r>
      <rPr>
        <b/>
        <vertAlign val="subscript"/>
        <sz val="11"/>
        <color indexed="8"/>
        <rFont val="Calibri"/>
        <family val="2"/>
      </rPr>
      <t>2</t>
    </r>
    <r>
      <rPr>
        <b/>
        <sz val="11"/>
        <color indexed="8"/>
        <rFont val="Calibri"/>
        <family val="2"/>
      </rPr>
      <t xml:space="preserve"> Reduction (kg)</t>
    </r>
  </si>
  <si>
    <t>Total 14 Year CO2 Reduction (kg)</t>
  </si>
  <si>
    <t>Environmental Analysis</t>
  </si>
  <si>
    <t>14 Year Cumulative Net Cash Flow ($)</t>
  </si>
  <si>
    <t>PROJECTED SAVINGS</t>
  </si>
  <si>
    <t xml:space="preserve">Motion Sensor Controlled Vending Machine </t>
  </si>
  <si>
    <t>1 year</t>
  </si>
  <si>
    <t>2 year</t>
  </si>
  <si>
    <t xml:space="preserve">Vending machines are an everpresent novelty in many establishments and a simple example of how energy saving techniques can be applied to reduce energy costs and a company's carbon output. Here we explore the possibilty of using a motion sensor unit to control the operation of a vending machine such that it remains on stand-by mode while not in use. This spreadsheet allows you to input operating conditions and discover the outcome of such an application. </t>
  </si>
  <si>
    <t xml:space="preserve">The information provided her is solely for informational purposes. All information presented herein is intended to substitute for the advice, which may be provided to you  by a professional who is more equiped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</si>
  <si>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 xml:space="preserve">Electricity Inflation </t>
  </si>
  <si>
    <t>No. of Vending Machines</t>
  </si>
  <si>
    <t>Power Usage (kW)</t>
  </si>
  <si>
    <t>Days of use per Year</t>
  </si>
  <si>
    <t>Hours of use per Day</t>
  </si>
  <si>
    <t>Sensor Cost</t>
  </si>
  <si>
    <t>Installation Time (h)</t>
  </si>
  <si>
    <t>Labor Cost ($/h)</t>
  </si>
  <si>
    <t>Instructions</t>
  </si>
  <si>
    <t>Input the cost of electricity if different</t>
  </si>
  <si>
    <t>Enter the number of vending machines on site</t>
  </si>
  <si>
    <t>Enter the sensor cost of model if different from the one referenced</t>
  </si>
  <si>
    <t>Modify the installation time and labor cost if required</t>
  </si>
  <si>
    <t>0.5 h</t>
  </si>
  <si>
    <t>Cost of Electricity ($/kWh)</t>
  </si>
  <si>
    <t>Normal Energy Cost ($ / Year )</t>
  </si>
  <si>
    <t>Modified Cost Reduction ($ / Year)</t>
  </si>
  <si>
    <t>Total Capital Cost ($)</t>
  </si>
  <si>
    <t>5 Year IRR</t>
  </si>
  <si>
    <t>Year 6</t>
  </si>
  <si>
    <t>Year 7</t>
  </si>
  <si>
    <t>Year 8</t>
  </si>
  <si>
    <t>Year 9</t>
  </si>
  <si>
    <t>Year 10</t>
  </si>
  <si>
    <t>Year 11</t>
  </si>
  <si>
    <t>Year 12</t>
  </si>
  <si>
    <t>Year 13</t>
  </si>
  <si>
    <t>Year 14</t>
  </si>
  <si>
    <t>Baseline</t>
  </si>
  <si>
    <t>Year 1</t>
  </si>
  <si>
    <t>Year 2</t>
  </si>
  <si>
    <t>Year 3</t>
  </si>
  <si>
    <t>Year 4</t>
  </si>
  <si>
    <t>Year 5</t>
  </si>
  <si>
    <t>Energy Reduction Factor</t>
  </si>
  <si>
    <t>Motion Sensor Controlled Vending Machines  - Assumptions &amp; References</t>
  </si>
  <si>
    <t>5 years</t>
  </si>
  <si>
    <t>$0.08 /kWh</t>
  </si>
  <si>
    <t>Energy Reduction through using Motion Sensing Vending Machine</t>
  </si>
  <si>
    <t>179.00  -&gt; 200.48</t>
  </si>
  <si>
    <t>Example</t>
  </si>
  <si>
    <t>º Reduce the operating temperature of the machine if appropriate</t>
  </si>
  <si>
    <t>º Locate the machine away from heat sources in cooler areas</t>
  </si>
  <si>
    <t>Disclaimer:</t>
  </si>
  <si>
    <t>º Regularly clean coolant coils and ensure machine is properly maintained</t>
  </si>
  <si>
    <t>º Attempt to use an alternative other than vending machines (ie. Bring your own water)</t>
  </si>
  <si>
    <t>Cumulative Net Cash Flow</t>
  </si>
  <si>
    <t>Energy Saving Alternatives:</t>
  </si>
  <si>
    <t>º Eliminate the use of vending machines in building if possible</t>
  </si>
  <si>
    <t>kg</t>
  </si>
  <si>
    <t>Payback Period (Years)</t>
  </si>
  <si>
    <t xml:space="preserve"> TRY OUT THIS SPREADSHEET, ENTER THE INFORMATION INTO THE 'INPUT PAGE' SECTION OF THIS REPORT</t>
  </si>
  <si>
    <r>
      <t>Enter the power usage per machine (measure using a Kill - a - Watt</t>
    </r>
    <r>
      <rPr>
        <vertAlign val="superscript"/>
        <sz val="11"/>
        <color indexed="8"/>
        <rFont val="Calibri"/>
        <family val="2"/>
      </rPr>
      <t>TM</t>
    </r>
    <r>
      <rPr>
        <sz val="11"/>
        <color indexed="8"/>
        <rFont val="Calibri"/>
        <family val="2"/>
      </rPr>
      <t xml:space="preserve"> meter, found at any local harware store)</t>
    </r>
  </si>
  <si>
    <t>Enter the hours of use per day and number of days of use per year</t>
  </si>
  <si>
    <r>
      <t>Vending machines are an everpresent novelty in many establishments and a simple example of how energy saving techniques can be applied to reduce energy costs and a company's CO</t>
    </r>
    <r>
      <rPr>
        <vertAlign val="subscript"/>
        <sz val="10"/>
        <color indexed="8"/>
        <rFont val="Calibri"/>
        <family val="2"/>
      </rPr>
      <t>2</t>
    </r>
    <r>
      <rPr>
        <sz val="10"/>
        <color indexed="8"/>
        <rFont val="Calibri"/>
        <family val="2"/>
      </rPr>
      <t xml:space="preserve"> output. Here we explore the possibilty of using a motion sensor unit to control the operation of a vending machine such that it remains on stand-by mode while not in use. When the motion sensing device senses motion, the controller turns on the machine's light and compressor, which is then turned off after 15 minutes of inactivity. This system ensures that then vending machine does not remain on 24 hours a day but instead has a controller that powers up the machine every 2 hours to to maintain standard operating temperatures This spreadsheet allows you to input operating conditions and discover the outcome of such an application. The example below shows the savings over a 7 year period from using motion sensors on one vending machine.</t>
    </r>
  </si>
  <si>
    <t>CO2 Emission Rate (kg / kWh)</t>
  </si>
  <si>
    <t>*Use no inflation is want nominal dollars. Try different values as needed.</t>
  </si>
  <si>
    <t>(Print on Legal Paper, but consider the environment)</t>
  </si>
  <si>
    <t>Risk Free Rate of Return</t>
  </si>
  <si>
    <t>* Can use between 30 - 50%, depending on quality of vending machine/ sensor.</t>
  </si>
  <si>
    <t>Discounted Cash Flow ($/Year with RR based on input)</t>
  </si>
  <si>
    <t>Discounted Cash Flow ($/Year with RR based on sssumption)</t>
  </si>
  <si>
    <t>Risk Free Rate of Return (RR based on assumption)</t>
  </si>
  <si>
    <t>Risk Free Rate of Return (RR based on input)</t>
  </si>
  <si>
    <t>Net Present Value ($, RR based on assumption)</t>
  </si>
  <si>
    <t>Net Present Value ($, RR based on input)</t>
  </si>
  <si>
    <t>14 year Net Present Value ($, RR based on assumption)</t>
  </si>
  <si>
    <t>14 year Net Present Value ($, RR based on input value)</t>
  </si>
  <si>
    <r>
      <t xml:space="preserve">Energy Reduction Factor taken at 46% of total energy usage courtesy of Vending Miser, a company that specializes in the retrofitting of vending machines with their own sensors and control units.   The Vending Miser Sensing unit is the industry standard currently and quotes an ERF of 46%, if you find another company that quotes a different value feel free to replace it.                           </t>
    </r>
    <r>
      <rPr>
        <b/>
        <sz val="11"/>
        <color indexed="8"/>
        <rFont val="Calibri"/>
        <family val="2"/>
      </rPr>
      <t xml:space="preserve">Vending Miser Website:  </t>
    </r>
    <r>
      <rPr>
        <sz val="11"/>
        <color indexed="8"/>
        <rFont val="Calibri"/>
        <family val="2"/>
      </rPr>
      <t xml:space="preserve">( retrieved Feb 7, 2010) </t>
    </r>
    <r>
      <rPr>
        <sz val="10"/>
        <color indexed="8"/>
        <rFont val="Calibri"/>
        <family val="2"/>
      </rPr>
      <t>http://www.vendingmiserstore.com/p2150/usat_vending_miser_master_unit_model_vm150.php</t>
    </r>
  </si>
  <si>
    <r>
      <t xml:space="preserve">$0.08 / kWh For the price of electricity, obtained from Energyshop.ca,                                               </t>
    </r>
    <r>
      <rPr>
        <b/>
        <sz val="11"/>
        <color indexed="8"/>
        <rFont val="Calibri"/>
        <family val="2"/>
      </rPr>
      <t>Energyshop Website:</t>
    </r>
    <r>
      <rPr>
        <sz val="11"/>
        <color indexed="8"/>
        <rFont val="Calibri"/>
        <family val="2"/>
      </rPr>
      <t xml:space="preserve"> (retrieved Feb 7, 2010) http://www.energyshop.com/es/prices/ON/eleON.cfm?ldc_id=348&amp; </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</si>
  <si>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1"/>
        <color indexed="8"/>
        <rFont val="Calibri"/>
        <family val="2"/>
      </rPr>
      <t xml:space="preserve">( retrieved Feb 7, 2010) </t>
    </r>
    <r>
      <rPr>
        <sz val="10"/>
        <color indexed="8"/>
        <rFont val="Calibri"/>
        <family val="2"/>
      </rPr>
      <t>http://www.vendingmiserstore.com/p2150/usat_vending_miser_master_unit_model_vm150.php</t>
    </r>
  </si>
  <si>
    <r>
      <t xml:space="preserve">Installation cost per hour assuming the person installing the sensor requires special skills and has been trained (higher hourly rate)                                                                                                                                 </t>
    </r>
    <r>
      <rPr>
        <b/>
        <sz val="11"/>
        <color indexed="8"/>
        <rFont val="Calibri"/>
        <family val="2"/>
      </rPr>
      <t xml:space="preserve">Reference: </t>
    </r>
    <r>
      <rPr>
        <sz val="11"/>
        <color indexed="8"/>
        <rFont val="Calibri"/>
        <family val="2"/>
      </rPr>
      <t xml:space="preserve"> ( retrieved Feb 7, 2010) </t>
    </r>
    <r>
      <rPr>
        <sz val="10"/>
        <color indexed="8"/>
        <rFont val="Calibri"/>
        <family val="2"/>
      </rPr>
      <t>http://www.hrsdc.gc.ca/eng/labour/employment_standards/contracts/schedule/ontario/toronto_zone/schedule.shtml</t>
    </r>
  </si>
  <si>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1"/>
        <color indexed="8"/>
        <rFont val="Calibri"/>
        <family val="2"/>
      </rPr>
      <t xml:space="preserve">( retrieved Feb 7, 2010) </t>
    </r>
    <r>
      <rPr>
        <sz val="10"/>
        <color indexed="8"/>
        <rFont val="Calibri"/>
        <family val="2"/>
      </rPr>
      <t>http://www.vendingmiserstore.com/p2150/usat_vending_miser_master_unit_model_vm150.php</t>
    </r>
  </si>
  <si>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r>
      <rPr>
        <b/>
        <sz val="11"/>
        <color indexed="8"/>
        <rFont val="Calibri"/>
        <family val="2"/>
      </rPr>
      <t xml:space="preserve">Bank of Canada's Website:  </t>
    </r>
    <r>
      <rPr>
        <sz val="11"/>
        <color indexed="8"/>
        <rFont val="Calibri"/>
        <family val="2"/>
      </rPr>
      <t xml:space="preserve">   ( retrieved Feb 7, 2010)                                              </t>
    </r>
    <r>
      <rPr>
        <sz val="10"/>
        <color indexed="8"/>
        <rFont val="Calibri"/>
        <family val="2"/>
      </rPr>
      <t>www.bankofcanada.ca/en/rates/bonds.html</t>
    </r>
  </si>
  <si>
    <r>
      <t xml:space="preserve">Average labour inflation rate from 2000 to 2010 in Ontario.                                                                                       </t>
    </r>
    <r>
      <rPr>
        <b/>
        <sz val="11"/>
        <color indexed="8"/>
        <rFont val="Calibri"/>
        <family val="2"/>
      </rPr>
      <t>Website:</t>
    </r>
    <r>
      <rPr>
        <sz val="11"/>
        <color indexed="8"/>
        <rFont val="Calibri"/>
        <family val="2"/>
      </rPr>
      <t xml:space="preserve"> ( retrieved Feb 7, 2010)                                                                        </t>
    </r>
    <r>
      <rPr>
        <sz val="10"/>
        <color indexed="8"/>
        <rFont val="Calibri"/>
        <family val="2"/>
      </rPr>
      <t xml:space="preserve"> www.rateinflation.com/inflation-rate/canada-historical-inflation-rate.php?form=canir</t>
    </r>
  </si>
  <si>
    <r>
      <t xml:space="preserve">Average electricity inflation rate from 2000 to 2010 in Ontario.                                                                                       </t>
    </r>
    <r>
      <rPr>
        <b/>
        <sz val="11"/>
        <color indexed="8"/>
        <rFont val="Calibri"/>
        <family val="2"/>
      </rPr>
      <t>Website:</t>
    </r>
    <r>
      <rPr>
        <sz val="10"/>
        <color indexed="8"/>
        <rFont val="Calibri"/>
        <family val="2"/>
      </rPr>
      <t xml:space="preserve">  ( retrieved Feb 7, 2010)                                   http://www.bankofcanada.ca/en/inflation/index.html</t>
    </r>
  </si>
  <si>
    <r>
      <t>Approximate amount of CO</t>
    </r>
    <r>
      <rPr>
        <vertAlign val="subscript"/>
        <sz val="11"/>
        <color indexed="8"/>
        <rFont val="Calibri"/>
        <family val="2"/>
      </rPr>
      <t>2</t>
    </r>
    <r>
      <rPr>
        <sz val="11"/>
        <color indexed="8"/>
        <rFont val="Calibri"/>
        <family val="2"/>
      </rPr>
      <t xml:space="preserve"> emitted to produce 1 kWh of electricity in Ontario.
This was calcualted by determining the carbon dioxide emissions per fuel source on page two of the doucment and using these values for the Ontario supply mix provided by the Ontario Power Authority.                                                                   </t>
    </r>
    <r>
      <rPr>
        <b/>
        <sz val="11"/>
        <color indexed="8"/>
        <rFont val="Calibri"/>
        <family val="2"/>
      </rPr>
      <t xml:space="preserve">Website: </t>
    </r>
    <r>
      <rPr>
        <sz val="11"/>
        <color indexed="8"/>
        <rFont val="Calibri"/>
        <family val="2"/>
      </rPr>
      <t>( retrieved Feb 7, 2010)</t>
    </r>
    <r>
      <rPr>
        <b/>
        <sz val="11"/>
        <color indexed="8"/>
        <rFont val="Calibri"/>
        <family val="2"/>
      </rPr>
      <t xml:space="preserve"> </t>
    </r>
    <r>
      <rPr>
        <sz val="11"/>
        <color indexed="8"/>
        <rFont val="Calibri"/>
        <family val="2"/>
      </rPr>
      <t>http://www.eia.doe.gov/cneaf/electricity/page/co2_report/co2emiss.pdf  http://www.powerauthority.on.ca/Report_Static/1139.htm</t>
    </r>
  </si>
  <si>
    <r>
      <t>0.24 kg of CO</t>
    </r>
    <r>
      <rPr>
        <b/>
        <vertAlign val="subscript"/>
        <sz val="11"/>
        <color indexed="8"/>
        <rFont val="Calibri"/>
        <family val="2"/>
      </rPr>
      <t xml:space="preserve">2 </t>
    </r>
    <r>
      <rPr>
        <b/>
        <sz val="11"/>
        <color indexed="8"/>
        <rFont val="Calibri"/>
        <family val="2"/>
      </rPr>
      <t>/kWh</t>
    </r>
  </si>
  <si>
    <r>
      <t xml:space="preserve">Sensors are assumed to need replacement or service sometime within year 6, based on the manufacturers 5 year warranty.   Worst Case Scenario indicated assumes 100% must be replaced.  The replacements are one time costs and can be removed if the company chooses not to replace them.  The multiple replacements were shown to display the accumulated savings that can be obtained over a long period.                                                                                                                                                                                    </t>
    </r>
    <r>
      <rPr>
        <b/>
        <sz val="11"/>
        <color indexed="8"/>
        <rFont val="Calibri"/>
        <family val="2"/>
      </rPr>
      <t xml:space="preserve">Vending Miser Website: </t>
    </r>
    <r>
      <rPr>
        <sz val="11"/>
        <color indexed="8"/>
        <rFont val="Calibri"/>
        <family val="2"/>
      </rPr>
      <t xml:space="preserve">( retrieved Feb 7, 2010) </t>
    </r>
    <r>
      <rPr>
        <sz val="10"/>
        <color indexed="8"/>
        <rFont val="Calibri"/>
        <family val="2"/>
      </rPr>
      <t>http://www.vendingmiserstore.com/p2150/usat_vending_miser_master_unit_model_vm150.php</t>
    </r>
  </si>
  <si>
    <t>Enter risk free rate of return if required. Otherwise, the default assumed risk free rate of return will be used.  (leave blank for default)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</si>
</sst>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_(&quot;$&quot;* #,##0.0_);_(&quot;$&quot;* \(#,##0.0\);_(&quot;$&quot;* &quot;-&quot;??_);_(@_)"/>
    <numFmt numFmtId="175" formatCode="_(&quot;$&quot;* #,##0_);_(&quot;$&quot;* \(#,##0\);_(&quot;$&quot;* &quot;-&quot;??_);_(@_)"/>
    <numFmt numFmtId="176" formatCode="0.000"/>
    <numFmt numFmtId="177" formatCode="&quot;$&quot;#,##0.000"/>
    <numFmt numFmtId="178" formatCode="0.0%"/>
    <numFmt numFmtId="179" formatCode="&quot;$&quot;#,##0.0"/>
    <numFmt numFmtId="180" formatCode="0.000%"/>
    <numFmt numFmtId="181" formatCode="0.00000000"/>
    <numFmt numFmtId="182" formatCode="0.0000000"/>
    <numFmt numFmtId="183" formatCode="0.000000"/>
    <numFmt numFmtId="184" formatCode="0.00000"/>
    <numFmt numFmtId="185" formatCode="0.0000"/>
    <numFmt numFmtId="186" formatCode="_(&quot;$&quot;* #,##0.000_);_(&quot;$&quot;* \(#,##0.000\);_(&quot;$&quot;* &quot;-&quot;??_);_(@_)"/>
    <numFmt numFmtId="187" formatCode="_(\$* #,##0.00_);_(\$* \(#,##0.00\);_(\$* &quot;-&quot;??_);_(@_)"/>
    <numFmt numFmtId="188" formatCode="_(&quot;$&quot;* #,##0.0000_);_(&quot;$&quot;* \(#,##0.0000\);_(&quot;$&quot;* &quot;-&quot;??_);_(@_)"/>
    <numFmt numFmtId="189" formatCode="#,##0.0"/>
  </numFmts>
  <fonts count="56">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u val="single"/>
      <sz val="11"/>
      <color indexed="8"/>
      <name val="Calibri"/>
      <family val="2"/>
    </font>
    <font>
      <sz val="8"/>
      <name val="Verdana"/>
      <family val="2"/>
    </font>
    <font>
      <b/>
      <vertAlign val="subscript"/>
      <sz val="11"/>
      <color indexed="8"/>
      <name val="Calibri"/>
      <family val="2"/>
    </font>
    <font>
      <sz val="14"/>
      <color indexed="8"/>
      <name val="Calibri"/>
      <family val="2"/>
    </font>
    <font>
      <b/>
      <i/>
      <sz val="11"/>
      <color indexed="8"/>
      <name val="Calibri"/>
      <family val="2"/>
    </font>
    <font>
      <b/>
      <i/>
      <u val="single"/>
      <sz val="11"/>
      <color indexed="8"/>
      <name val="Calibri"/>
      <family val="2"/>
    </font>
    <font>
      <vertAlign val="subscript"/>
      <sz val="11"/>
      <color indexed="8"/>
      <name val="Calibri"/>
      <family val="2"/>
    </font>
    <font>
      <b/>
      <i/>
      <u val="single"/>
      <sz val="11"/>
      <color indexed="24"/>
      <name val="Calibri"/>
      <family val="2"/>
    </font>
    <font>
      <sz val="9"/>
      <color indexed="8"/>
      <name val="Calibri"/>
      <family val="2"/>
    </font>
    <font>
      <b/>
      <sz val="14"/>
      <name val="Calibri"/>
      <family val="2"/>
    </font>
    <font>
      <b/>
      <sz val="14"/>
      <color indexed="8"/>
      <name val="Calibri"/>
      <family val="2"/>
    </font>
    <font>
      <vertAlign val="superscript"/>
      <sz val="11"/>
      <color indexed="8"/>
      <name val="Calibri"/>
      <family val="2"/>
    </font>
    <font>
      <vertAlign val="subscript"/>
      <sz val="10"/>
      <color indexed="8"/>
      <name val="Calibri"/>
      <family val="2"/>
    </font>
    <font>
      <sz val="9.2"/>
      <color indexed="8"/>
      <name val="Calibri"/>
      <family val="0"/>
    </font>
    <font>
      <sz val="8.45"/>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1"/>
      <name val="Calibri"/>
      <family val="0"/>
    </font>
    <font>
      <b/>
      <vertAlign val="subscrip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theme="0"/>
        <bgColor indexed="64"/>
      </patternFill>
    </fill>
    <fill>
      <patternFill patternType="solid">
        <fgColor theme="3" tint="0.7999799847602844"/>
        <bgColor indexed="64"/>
      </patternFill>
    </fill>
    <fill>
      <patternFill patternType="solid">
        <fgColor indexed="44"/>
        <bgColor indexed="64"/>
      </patternFill>
    </fill>
    <fill>
      <patternFill patternType="solid">
        <fgColor indexed="5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right/>
      <top/>
      <bottom style="medium"/>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style="medium"/>
      <right>
        <color indexed="63"/>
      </right>
      <top>
        <color indexed="63"/>
      </top>
      <bottom style="medium"/>
    </border>
    <border>
      <left>
        <color indexed="63"/>
      </left>
      <right>
        <color indexed="63"/>
      </right>
      <top style="thin"/>
      <bottom>
        <color indexed="63"/>
      </bottom>
    </border>
    <border>
      <left/>
      <right/>
      <top style="medium"/>
      <bottom style="medium"/>
    </border>
    <border>
      <left style="thin"/>
      <right/>
      <top/>
      <bottom/>
    </border>
    <border>
      <left style="medium"/>
      <right/>
      <top style="medium"/>
      <bottom style="medium"/>
    </border>
    <border>
      <left>
        <color indexed="63"/>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color indexed="63"/>
      </right>
      <top/>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thin"/>
      <right/>
      <top style="medium"/>
      <bottom/>
    </border>
    <border>
      <left/>
      <right/>
      <top style="medium"/>
      <bottom/>
    </border>
    <border>
      <left/>
      <right style="thin"/>
      <top style="medium"/>
      <bottom/>
    </border>
    <border>
      <left/>
      <right style="thin"/>
      <top/>
      <bottom/>
    </border>
    <border>
      <left style="thin"/>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30" borderId="6"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87">
    <xf numFmtId="0" fontId="0" fillId="0" borderId="0" xfId="0" applyAlignment="1">
      <alignment/>
    </xf>
    <xf numFmtId="0" fontId="2" fillId="34" borderId="0" xfId="0" applyFont="1" applyFill="1" applyAlignment="1">
      <alignment/>
    </xf>
    <xf numFmtId="0" fontId="0" fillId="34" borderId="0" xfId="0" applyFont="1" applyFill="1" applyAlignment="1">
      <alignment/>
    </xf>
    <xf numFmtId="0" fontId="2" fillId="34" borderId="0" xfId="0" applyFont="1" applyFill="1" applyAlignment="1">
      <alignment horizontal="center"/>
    </xf>
    <xf numFmtId="0" fontId="0" fillId="0" borderId="11" xfId="0" applyBorder="1" applyAlignment="1">
      <alignment/>
    </xf>
    <xf numFmtId="2" fontId="0" fillId="0" borderId="11" xfId="0" applyNumberFormat="1" applyBorder="1" applyAlignment="1">
      <alignment/>
    </xf>
    <xf numFmtId="0" fontId="0" fillId="34" borderId="0" xfId="0" applyFill="1" applyBorder="1" applyAlignment="1">
      <alignment vertical="top"/>
    </xf>
    <xf numFmtId="0" fontId="7" fillId="34" borderId="0" xfId="0" applyFont="1" applyFill="1" applyBorder="1" applyAlignment="1">
      <alignment vertical="top"/>
    </xf>
    <xf numFmtId="0" fontId="0" fillId="34" borderId="0" xfId="0" applyFont="1" applyFill="1" applyBorder="1" applyAlignment="1">
      <alignment vertical="top" wrapText="1"/>
    </xf>
    <xf numFmtId="0" fontId="7" fillId="0" borderId="11" xfId="0" applyFont="1" applyBorder="1" applyAlignment="1">
      <alignment/>
    </xf>
    <xf numFmtId="0" fontId="7" fillId="0" borderId="11" xfId="0" applyFont="1" applyBorder="1" applyAlignment="1">
      <alignment wrapText="1"/>
    </xf>
    <xf numFmtId="172" fontId="0" fillId="0" borderId="11" xfId="0" applyNumberFormat="1" applyBorder="1" applyAlignment="1">
      <alignment/>
    </xf>
    <xf numFmtId="0" fontId="7" fillId="34" borderId="11" xfId="0" applyFont="1" applyFill="1" applyBorder="1" applyAlignment="1">
      <alignment horizontal="left" vertical="top"/>
    </xf>
    <xf numFmtId="0" fontId="7" fillId="34" borderId="11" xfId="0" applyFont="1" applyFill="1" applyBorder="1" applyAlignment="1">
      <alignment horizontal="left" vertical="top" wrapText="1"/>
    </xf>
    <xf numFmtId="0" fontId="0" fillId="34" borderId="0" xfId="0" applyFill="1" applyBorder="1" applyAlignment="1">
      <alignment horizontal="center" vertical="top"/>
    </xf>
    <xf numFmtId="0" fontId="7" fillId="34" borderId="0" xfId="0" applyFont="1" applyFill="1" applyBorder="1" applyAlignment="1">
      <alignment horizontal="left" vertical="top"/>
    </xf>
    <xf numFmtId="0" fontId="0" fillId="34" borderId="0" xfId="0" applyFill="1" applyAlignment="1">
      <alignment/>
    </xf>
    <xf numFmtId="0" fontId="12" fillId="34" borderId="0" xfId="0" applyFont="1" applyFill="1" applyAlignment="1">
      <alignment/>
    </xf>
    <xf numFmtId="0" fontId="8" fillId="34" borderId="0" xfId="0" applyFont="1" applyFill="1" applyAlignment="1">
      <alignment horizontal="center"/>
    </xf>
    <xf numFmtId="0" fontId="0" fillId="34" borderId="0" xfId="0" applyFill="1" applyAlignment="1">
      <alignment/>
    </xf>
    <xf numFmtId="0" fontId="7" fillId="34" borderId="0" xfId="0" applyFont="1" applyFill="1" applyAlignment="1">
      <alignment/>
    </xf>
    <xf numFmtId="0" fontId="7" fillId="34" borderId="0" xfId="0" applyFont="1" applyFill="1" applyAlignment="1">
      <alignment/>
    </xf>
    <xf numFmtId="9" fontId="0" fillId="34" borderId="0" xfId="0" applyNumberFormat="1" applyFill="1" applyAlignment="1">
      <alignment horizontal="left"/>
    </xf>
    <xf numFmtId="0" fontId="3" fillId="34" borderId="0" xfId="0" applyFont="1" applyFill="1" applyAlignment="1">
      <alignment/>
    </xf>
    <xf numFmtId="0" fontId="0" fillId="34" borderId="0" xfId="0" applyFont="1" applyFill="1" applyAlignment="1">
      <alignment horizontal="center"/>
    </xf>
    <xf numFmtId="0" fontId="1" fillId="34" borderId="0" xfId="0" applyFont="1" applyFill="1" applyAlignment="1">
      <alignment horizontal="left"/>
    </xf>
    <xf numFmtId="0" fontId="1" fillId="34" borderId="0" xfId="0" applyFont="1" applyFill="1" applyAlignment="1">
      <alignment/>
    </xf>
    <xf numFmtId="1" fontId="0" fillId="34" borderId="0" xfId="0" applyNumberFormat="1" applyFill="1" applyAlignment="1">
      <alignment/>
    </xf>
    <xf numFmtId="0" fontId="50" fillId="0" borderId="11" xfId="53" applyFill="1" applyBorder="1" applyAlignment="1" applyProtection="1">
      <alignment/>
      <protection/>
    </xf>
    <xf numFmtId="0" fontId="50" fillId="0" borderId="11" xfId="53" applyBorder="1" applyAlignment="1" applyProtection="1">
      <alignment/>
      <protection/>
    </xf>
    <xf numFmtId="0" fontId="13" fillId="34" borderId="0" xfId="0" applyFont="1" applyFill="1" applyAlignment="1">
      <alignment/>
    </xf>
    <xf numFmtId="0" fontId="14" fillId="34" borderId="0" xfId="0" applyFont="1" applyFill="1" applyAlignment="1">
      <alignment/>
    </xf>
    <xf numFmtId="9" fontId="0" fillId="35" borderId="11" xfId="0" applyNumberFormat="1" applyFill="1" applyBorder="1" applyAlignment="1">
      <alignment/>
    </xf>
    <xf numFmtId="177" fontId="0" fillId="35" borderId="11" xfId="0" applyNumberFormat="1" applyFill="1" applyBorder="1" applyAlignment="1">
      <alignment/>
    </xf>
    <xf numFmtId="0" fontId="0" fillId="0" borderId="12" xfId="0" applyBorder="1" applyAlignment="1">
      <alignment/>
    </xf>
    <xf numFmtId="172" fontId="0" fillId="0" borderId="13" xfId="0" applyNumberFormat="1" applyBorder="1" applyAlignment="1">
      <alignment/>
    </xf>
    <xf numFmtId="2" fontId="0" fillId="34" borderId="11" xfId="0" applyNumberFormat="1" applyFill="1" applyBorder="1" applyAlignment="1">
      <alignment/>
    </xf>
    <xf numFmtId="2" fontId="0" fillId="34" borderId="11" xfId="0" applyNumberFormat="1" applyFill="1" applyBorder="1" applyAlignment="1">
      <alignment/>
    </xf>
    <xf numFmtId="2" fontId="0" fillId="0" borderId="12" xfId="0" applyNumberFormat="1" applyFill="1" applyBorder="1" applyAlignment="1">
      <alignment/>
    </xf>
    <xf numFmtId="2" fontId="0" fillId="34" borderId="12" xfId="0" applyNumberFormat="1" applyFill="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50" fillId="0" borderId="14" xfId="53" applyBorder="1" applyAlignment="1" applyProtection="1">
      <alignment/>
      <protection/>
    </xf>
    <xf numFmtId="0" fontId="7" fillId="0" borderId="16"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0" fillId="34" borderId="17" xfId="0" applyFill="1" applyBorder="1" applyAlignment="1">
      <alignment/>
    </xf>
    <xf numFmtId="4" fontId="0" fillId="0" borderId="11" xfId="0" applyNumberFormat="1" applyBorder="1" applyAlignment="1">
      <alignment/>
    </xf>
    <xf numFmtId="4" fontId="0" fillId="0" borderId="13" xfId="0" applyNumberFormat="1" applyBorder="1" applyAlignment="1">
      <alignment/>
    </xf>
    <xf numFmtId="1" fontId="0" fillId="0" borderId="11" xfId="0" applyNumberFormat="1" applyBorder="1" applyAlignment="1">
      <alignment/>
    </xf>
    <xf numFmtId="1" fontId="0" fillId="0" borderId="13" xfId="0" applyNumberFormat="1" applyBorder="1" applyAlignment="1">
      <alignment/>
    </xf>
    <xf numFmtId="0" fontId="0" fillId="34" borderId="0" xfId="0" applyFill="1" applyBorder="1" applyAlignment="1">
      <alignment/>
    </xf>
    <xf numFmtId="1" fontId="7" fillId="34" borderId="18" xfId="0" applyNumberFormat="1" applyFont="1" applyFill="1" applyBorder="1" applyAlignment="1">
      <alignment horizontal="center"/>
    </xf>
    <xf numFmtId="4" fontId="0" fillId="34" borderId="0" xfId="0" applyNumberFormat="1" applyFill="1" applyBorder="1" applyAlignment="1">
      <alignment/>
    </xf>
    <xf numFmtId="0" fontId="3" fillId="33" borderId="18" xfId="0" applyFont="1" applyFill="1" applyBorder="1" applyAlignment="1">
      <alignment horizontal="center"/>
    </xf>
    <xf numFmtId="0" fontId="7" fillId="34" borderId="19" xfId="0" applyFont="1" applyFill="1" applyBorder="1" applyAlignment="1">
      <alignment/>
    </xf>
    <xf numFmtId="0" fontId="0" fillId="34" borderId="19" xfId="0" applyFill="1" applyBorder="1" applyAlignment="1">
      <alignment/>
    </xf>
    <xf numFmtId="0" fontId="50" fillId="34" borderId="15" xfId="53" applyFill="1" applyBorder="1" applyAlignment="1" applyProtection="1">
      <alignment/>
      <protection/>
    </xf>
    <xf numFmtId="0" fontId="0" fillId="34" borderId="13" xfId="0" applyFill="1" applyBorder="1" applyAlignment="1">
      <alignment/>
    </xf>
    <xf numFmtId="0" fontId="0" fillId="34" borderId="0" xfId="0" applyFill="1" applyBorder="1" applyAlignment="1">
      <alignment vertical="center" wrapText="1"/>
    </xf>
    <xf numFmtId="0" fontId="0" fillId="34" borderId="0" xfId="0" applyFont="1" applyFill="1" applyBorder="1" applyAlignment="1">
      <alignment vertical="center" wrapText="1"/>
    </xf>
    <xf numFmtId="0" fontId="0" fillId="36" borderId="11" xfId="0" applyFill="1" applyBorder="1" applyAlignment="1">
      <alignment/>
    </xf>
    <xf numFmtId="2" fontId="0" fillId="0" borderId="12" xfId="0" applyNumberFormat="1" applyBorder="1" applyAlignment="1">
      <alignment/>
    </xf>
    <xf numFmtId="0" fontId="0" fillId="34" borderId="0" xfId="0" applyFill="1" applyAlignment="1">
      <alignment horizontal="left"/>
    </xf>
    <xf numFmtId="1" fontId="0" fillId="34" borderId="0" xfId="0" applyNumberFormat="1" applyFill="1" applyAlignment="1">
      <alignment horizontal="center"/>
    </xf>
    <xf numFmtId="0" fontId="0" fillId="34" borderId="0" xfId="0" applyFill="1" applyBorder="1" applyAlignment="1">
      <alignment vertical="top" wrapText="1"/>
    </xf>
    <xf numFmtId="10" fontId="0" fillId="34" borderId="11" xfId="0" applyNumberFormat="1" applyFill="1" applyBorder="1" applyAlignment="1">
      <alignment vertical="top" wrapText="1"/>
    </xf>
    <xf numFmtId="0" fontId="7" fillId="34" borderId="11" xfId="0" applyFont="1" applyFill="1" applyBorder="1" applyAlignment="1">
      <alignment vertical="top" wrapText="1"/>
    </xf>
    <xf numFmtId="0" fontId="7" fillId="34" borderId="11" xfId="0" applyFont="1" applyFill="1" applyBorder="1" applyAlignment="1">
      <alignment vertical="top"/>
    </xf>
    <xf numFmtId="4" fontId="0" fillId="34" borderId="11" xfId="0" applyNumberFormat="1" applyFill="1" applyBorder="1" applyAlignment="1">
      <alignment vertical="top" wrapText="1"/>
    </xf>
    <xf numFmtId="1" fontId="0" fillId="34" borderId="11" xfId="0" applyNumberFormat="1" applyFill="1" applyBorder="1" applyAlignment="1">
      <alignment vertical="top"/>
    </xf>
    <xf numFmtId="2" fontId="0" fillId="34" borderId="0" xfId="0" applyNumberFormat="1" applyFill="1" applyBorder="1" applyAlignment="1">
      <alignment horizontal="left" vertical="top" wrapText="1"/>
    </xf>
    <xf numFmtId="2" fontId="0" fillId="34" borderId="11" xfId="0" applyNumberFormat="1" applyFill="1" applyBorder="1" applyAlignment="1">
      <alignment vertical="top" wrapText="1"/>
    </xf>
    <xf numFmtId="9" fontId="0" fillId="0" borderId="0" xfId="0" applyNumberFormat="1" applyBorder="1" applyAlignment="1">
      <alignment/>
    </xf>
    <xf numFmtId="170" fontId="0" fillId="34" borderId="0" xfId="44" applyFont="1" applyFill="1" applyBorder="1" applyAlignment="1">
      <alignment/>
    </xf>
    <xf numFmtId="1" fontId="0" fillId="0" borderId="0" xfId="0" applyNumberFormat="1" applyBorder="1" applyAlignment="1">
      <alignment/>
    </xf>
    <xf numFmtId="0" fontId="7" fillId="8" borderId="11" xfId="21"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xf>
    <xf numFmtId="0" fontId="7" fillId="0" borderId="20" xfId="0" applyFont="1" applyBorder="1" applyAlignment="1">
      <alignment horizontal="center"/>
    </xf>
    <xf numFmtId="0" fontId="7" fillId="34" borderId="21" xfId="0" applyFont="1" applyFill="1" applyBorder="1" applyAlignment="1">
      <alignment wrapText="1"/>
    </xf>
    <xf numFmtId="0" fontId="0" fillId="0" borderId="0" xfId="0" applyBorder="1" applyAlignment="1">
      <alignment horizontal="left" vertical="top" wrapText="1"/>
    </xf>
    <xf numFmtId="170" fontId="0" fillId="34" borderId="0" xfId="44" applyNumberFormat="1" applyFont="1" applyFill="1" applyAlignment="1">
      <alignment horizontal="center"/>
    </xf>
    <xf numFmtId="0" fontId="19" fillId="37" borderId="0" xfId="21" applyFont="1" applyFill="1" applyBorder="1" applyAlignment="1">
      <alignment horizontal="center"/>
    </xf>
    <xf numFmtId="0" fontId="0" fillId="37" borderId="0" xfId="0" applyFill="1" applyAlignment="1">
      <alignment/>
    </xf>
    <xf numFmtId="0" fontId="0" fillId="37" borderId="0" xfId="0" applyFill="1" applyBorder="1" applyAlignment="1">
      <alignment horizontal="left" vertical="top" wrapText="1"/>
    </xf>
    <xf numFmtId="0" fontId="7" fillId="38" borderId="11" xfId="0" applyFont="1" applyFill="1" applyBorder="1" applyAlignment="1">
      <alignment horizontal="center"/>
    </xf>
    <xf numFmtId="0" fontId="7" fillId="38" borderId="21" xfId="0" applyFont="1" applyFill="1" applyBorder="1" applyAlignment="1">
      <alignment horizontal="center" vertical="top" wrapText="1"/>
    </xf>
    <xf numFmtId="0" fontId="7" fillId="38" borderId="11" xfId="0" applyFont="1" applyFill="1" applyBorder="1" applyAlignment="1">
      <alignment horizontal="center" vertical="top" wrapText="1"/>
    </xf>
    <xf numFmtId="0" fontId="54" fillId="8" borderId="11" xfId="21" applyFont="1" applyBorder="1" applyAlignment="1">
      <alignment horizontal="center" vertical="top"/>
    </xf>
    <xf numFmtId="0" fontId="7" fillId="38" borderId="11" xfId="0" applyFont="1" applyFill="1" applyBorder="1" applyAlignment="1">
      <alignment/>
    </xf>
    <xf numFmtId="9" fontId="7" fillId="38" borderId="11" xfId="0" applyNumberFormat="1" applyFont="1" applyFill="1" applyBorder="1" applyAlignment="1">
      <alignment/>
    </xf>
    <xf numFmtId="172" fontId="7" fillId="38" borderId="11" xfId="0" applyNumberFormat="1" applyFont="1" applyFill="1" applyBorder="1" applyAlignment="1">
      <alignment/>
    </xf>
    <xf numFmtId="0" fontId="7" fillId="0" borderId="22" xfId="0" applyFont="1" applyBorder="1" applyAlignment="1">
      <alignment vertical="center" textRotation="90"/>
    </xf>
    <xf numFmtId="0" fontId="0" fillId="36" borderId="14" xfId="0" applyFill="1" applyBorder="1" applyAlignment="1">
      <alignment/>
    </xf>
    <xf numFmtId="0" fontId="50" fillId="0" borderId="14" xfId="53" applyFill="1" applyBorder="1" applyAlignment="1" applyProtection="1">
      <alignment/>
      <protection/>
    </xf>
    <xf numFmtId="0" fontId="0" fillId="37" borderId="0" xfId="0" applyFill="1" applyAlignment="1">
      <alignment/>
    </xf>
    <xf numFmtId="175" fontId="0" fillId="0" borderId="11" xfId="44" applyNumberFormat="1" applyFont="1" applyBorder="1" applyAlignment="1">
      <alignment vertical="center"/>
    </xf>
    <xf numFmtId="175" fontId="0" fillId="0" borderId="11" xfId="0" applyNumberFormat="1" applyBorder="1" applyAlignment="1">
      <alignment vertical="center"/>
    </xf>
    <xf numFmtId="175" fontId="0" fillId="34" borderId="11" xfId="0" applyNumberFormat="1" applyFill="1" applyBorder="1" applyAlignment="1">
      <alignment vertical="center"/>
    </xf>
    <xf numFmtId="3" fontId="0" fillId="0" borderId="11" xfId="0" applyNumberFormat="1" applyBorder="1" applyAlignment="1">
      <alignment horizontal="center" vertical="center"/>
    </xf>
    <xf numFmtId="3" fontId="0" fillId="34" borderId="11" xfId="0" applyNumberFormat="1" applyFill="1" applyBorder="1" applyAlignment="1">
      <alignment horizontal="center" vertical="center"/>
    </xf>
    <xf numFmtId="0" fontId="50" fillId="34" borderId="0" xfId="53" applyFill="1" applyAlignment="1" applyProtection="1" quotePrefix="1">
      <alignment/>
      <protection/>
    </xf>
    <xf numFmtId="0" fontId="0" fillId="37" borderId="0" xfId="0" applyFill="1" applyBorder="1" applyAlignment="1">
      <alignment horizontal="left" vertical="top" wrapText="1"/>
    </xf>
    <xf numFmtId="0" fontId="0" fillId="37" borderId="0" xfId="0" applyFill="1" applyAlignment="1">
      <alignment/>
    </xf>
    <xf numFmtId="10" fontId="3" fillId="33" borderId="18" xfId="0" applyNumberFormat="1" applyFont="1" applyFill="1" applyBorder="1" applyAlignment="1">
      <alignment horizontal="center"/>
    </xf>
    <xf numFmtId="10" fontId="7" fillId="33" borderId="18" xfId="0" applyNumberFormat="1" applyFont="1" applyFill="1" applyBorder="1" applyAlignment="1">
      <alignment horizontal="center"/>
    </xf>
    <xf numFmtId="10" fontId="0" fillId="0" borderId="11" xfId="0" applyNumberFormat="1" applyBorder="1" applyAlignment="1">
      <alignment/>
    </xf>
    <xf numFmtId="10" fontId="40" fillId="12" borderId="11" xfId="25" applyNumberFormat="1" applyBorder="1" applyAlignment="1">
      <alignment/>
    </xf>
    <xf numFmtId="4" fontId="0" fillId="37" borderId="23" xfId="0" applyNumberFormat="1" applyFill="1" applyBorder="1" applyAlignment="1">
      <alignment vertical="top"/>
    </xf>
    <xf numFmtId="4" fontId="0" fillId="37" borderId="0" xfId="0" applyNumberFormat="1" applyFill="1" applyBorder="1" applyAlignment="1">
      <alignment/>
    </xf>
    <xf numFmtId="9" fontId="0" fillId="0" borderId="11" xfId="0" applyNumberFormat="1" applyBorder="1" applyAlignment="1">
      <alignment/>
    </xf>
    <xf numFmtId="0" fontId="7" fillId="0" borderId="24" xfId="0" applyFont="1" applyFill="1" applyBorder="1" applyAlignment="1">
      <alignment/>
    </xf>
    <xf numFmtId="0" fontId="17" fillId="34" borderId="25" xfId="0" applyFont="1" applyFill="1" applyBorder="1" applyAlignment="1">
      <alignment horizontal="left" vertical="top" wrapText="1"/>
    </xf>
    <xf numFmtId="0" fontId="17" fillId="34" borderId="0" xfId="0" applyFont="1" applyFill="1" applyBorder="1" applyAlignment="1">
      <alignment horizontal="left" vertical="top" wrapText="1"/>
    </xf>
    <xf numFmtId="0" fontId="19" fillId="8" borderId="26" xfId="21" applyFont="1" applyBorder="1" applyAlignment="1">
      <alignment horizontal="center"/>
    </xf>
    <xf numFmtId="0" fontId="19" fillId="8" borderId="24" xfId="21" applyFont="1" applyBorder="1" applyAlignment="1">
      <alignment horizontal="center"/>
    </xf>
    <xf numFmtId="0" fontId="19" fillId="8" borderId="27" xfId="21" applyFont="1" applyBorder="1" applyAlignment="1">
      <alignment horizontal="center"/>
    </xf>
    <xf numFmtId="0" fontId="0" fillId="34" borderId="0" xfId="0" applyFill="1" applyBorder="1" applyAlignment="1">
      <alignment horizontal="right"/>
    </xf>
    <xf numFmtId="175" fontId="0" fillId="34" borderId="0" xfId="0" applyNumberFormat="1" applyFill="1" applyAlignment="1">
      <alignment horizontal="center"/>
    </xf>
    <xf numFmtId="0" fontId="1" fillId="34" borderId="25" xfId="0" applyFont="1" applyFill="1" applyBorder="1" applyAlignment="1">
      <alignment horizontal="left" vertical="top" wrapText="1"/>
    </xf>
    <xf numFmtId="0" fontId="1" fillId="34" borderId="0" xfId="0" applyFont="1" applyFill="1" applyBorder="1" applyAlignment="1">
      <alignment horizontal="left" vertical="top" wrapText="1"/>
    </xf>
    <xf numFmtId="0" fontId="0" fillId="0" borderId="0" xfId="0" applyAlignment="1">
      <alignment/>
    </xf>
    <xf numFmtId="0" fontId="3" fillId="34" borderId="0" xfId="0" applyFont="1" applyFill="1" applyAlignment="1">
      <alignment horizontal="center" vertical="center" wrapText="1"/>
    </xf>
    <xf numFmtId="0" fontId="0" fillId="0" borderId="0" xfId="0" applyAlignment="1">
      <alignment horizontal="center"/>
    </xf>
    <xf numFmtId="0" fontId="19" fillId="8" borderId="11" xfId="21" applyFont="1" applyBorder="1" applyAlignment="1">
      <alignment horizontal="center"/>
    </xf>
    <xf numFmtId="0" fontId="7" fillId="34" borderId="0" xfId="0" applyFont="1" applyFill="1" applyBorder="1" applyAlignment="1">
      <alignment horizontal="center" vertical="top"/>
    </xf>
    <xf numFmtId="0" fontId="8" fillId="34" borderId="0" xfId="0" applyFont="1" applyFill="1" applyBorder="1" applyAlignment="1">
      <alignment horizontal="center" vertical="top"/>
    </xf>
    <xf numFmtId="0" fontId="0" fillId="34" borderId="23" xfId="0" applyFill="1" applyBorder="1" applyAlignment="1">
      <alignment horizontal="left" vertical="center" wrapText="1"/>
    </xf>
    <xf numFmtId="0" fontId="0" fillId="37" borderId="0" xfId="0" applyFill="1" applyBorder="1" applyAlignment="1">
      <alignment horizontal="left" vertical="top" wrapText="1"/>
    </xf>
    <xf numFmtId="0" fontId="19" fillId="8" borderId="21" xfId="21" applyFont="1" applyBorder="1" applyAlignment="1">
      <alignment horizontal="center"/>
    </xf>
    <xf numFmtId="0" fontId="19" fillId="8" borderId="19" xfId="21" applyFont="1" applyBorder="1" applyAlignment="1">
      <alignment horizontal="center"/>
    </xf>
    <xf numFmtId="0" fontId="7" fillId="34" borderId="17" xfId="0" applyFont="1" applyFill="1" applyBorder="1" applyAlignment="1">
      <alignment horizontal="center"/>
    </xf>
    <xf numFmtId="0" fontId="7" fillId="34" borderId="28" xfId="0" applyFont="1" applyFill="1" applyBorder="1" applyAlignment="1">
      <alignment horizontal="center" vertical="center" textRotation="90" wrapText="1"/>
    </xf>
    <xf numFmtId="0" fontId="7" fillId="34" borderId="29" xfId="0" applyFont="1" applyFill="1" applyBorder="1" applyAlignment="1">
      <alignment horizontal="center" vertical="center" textRotation="90" wrapText="1"/>
    </xf>
    <xf numFmtId="0" fontId="7" fillId="34" borderId="30" xfId="0" applyFont="1" applyFill="1" applyBorder="1" applyAlignment="1">
      <alignment horizontal="center" vertical="center" textRotation="90" wrapText="1"/>
    </xf>
    <xf numFmtId="0" fontId="0" fillId="36" borderId="14" xfId="0" applyFill="1" applyBorder="1" applyAlignment="1">
      <alignment horizontal="center"/>
    </xf>
    <xf numFmtId="0" fontId="0" fillId="36" borderId="11" xfId="0" applyFill="1" applyBorder="1" applyAlignment="1">
      <alignment horizontal="center"/>
    </xf>
    <xf numFmtId="0" fontId="7" fillId="36" borderId="14" xfId="0" applyFont="1" applyFill="1" applyBorder="1" applyAlignment="1">
      <alignment horizontal="center"/>
    </xf>
    <xf numFmtId="0" fontId="7" fillId="36" borderId="11" xfId="0" applyFont="1" applyFill="1" applyBorder="1" applyAlignment="1">
      <alignment horizontal="center"/>
    </xf>
    <xf numFmtId="0" fontId="18" fillId="39" borderId="26" xfId="0" applyFont="1" applyFill="1" applyBorder="1" applyAlignment="1">
      <alignment horizontal="center"/>
    </xf>
    <xf numFmtId="0" fontId="18" fillId="39" borderId="24" xfId="0" applyFont="1" applyFill="1" applyBorder="1" applyAlignment="1">
      <alignment horizontal="center"/>
    </xf>
    <xf numFmtId="0" fontId="18" fillId="39" borderId="27" xfId="0" applyFont="1" applyFill="1" applyBorder="1" applyAlignment="1">
      <alignment horizontal="center"/>
    </xf>
    <xf numFmtId="0" fontId="7" fillId="34" borderId="0" xfId="0" applyFont="1" applyFill="1" applyAlignment="1">
      <alignment horizontal="center"/>
    </xf>
    <xf numFmtId="0" fontId="7" fillId="0" borderId="28" xfId="0" applyFont="1" applyBorder="1" applyAlignment="1">
      <alignment horizontal="center" vertical="center" textRotation="90"/>
    </xf>
    <xf numFmtId="0" fontId="7" fillId="0" borderId="29" xfId="0" applyFont="1" applyBorder="1" applyAlignment="1">
      <alignment horizontal="center" vertical="center" textRotation="90"/>
    </xf>
    <xf numFmtId="0" fontId="7" fillId="0" borderId="31" xfId="0" applyFont="1" applyBorder="1" applyAlignment="1">
      <alignment horizontal="center" vertical="center" textRotation="90"/>
    </xf>
    <xf numFmtId="0" fontId="7" fillId="0" borderId="30" xfId="0" applyFont="1" applyBorder="1" applyAlignment="1">
      <alignment horizontal="center" vertical="center" textRotation="90"/>
    </xf>
    <xf numFmtId="0" fontId="7" fillId="37" borderId="0" xfId="0" applyFont="1" applyFill="1" applyBorder="1" applyAlignment="1">
      <alignment horizontal="center"/>
    </xf>
    <xf numFmtId="0" fontId="7" fillId="0" borderId="11" xfId="0" applyFont="1" applyBorder="1" applyAlignment="1">
      <alignment horizontal="center" vertical="top"/>
    </xf>
    <xf numFmtId="0" fontId="7" fillId="0" borderId="20" xfId="0" applyFont="1" applyBorder="1" applyAlignment="1">
      <alignment horizontal="center" vertical="top"/>
    </xf>
    <xf numFmtId="9" fontId="7" fillId="35" borderId="32" xfId="0" applyNumberFormat="1" applyFont="1" applyFill="1" applyBorder="1" applyAlignment="1">
      <alignment horizontal="center" vertical="top" wrapText="1"/>
    </xf>
    <xf numFmtId="0" fontId="7" fillId="35" borderId="33" xfId="0" applyFont="1" applyFill="1" applyBorder="1" applyAlignment="1">
      <alignment horizontal="center" vertical="top" wrapText="1"/>
    </xf>
    <xf numFmtId="0" fontId="7" fillId="35" borderId="34" xfId="0" applyFont="1" applyFill="1" applyBorder="1" applyAlignment="1">
      <alignment horizontal="center" vertical="top" wrapText="1"/>
    </xf>
    <xf numFmtId="0" fontId="0" fillId="0" borderId="35" xfId="0" applyBorder="1" applyAlignment="1">
      <alignment horizontal="left" vertical="top" wrapText="1"/>
    </xf>
    <xf numFmtId="0" fontId="0" fillId="0" borderId="11" xfId="0" applyBorder="1" applyAlignment="1">
      <alignment horizontal="left" vertical="top" wrapText="1"/>
    </xf>
    <xf numFmtId="0" fontId="0" fillId="0" borderId="20" xfId="0" applyBorder="1" applyAlignment="1">
      <alignment horizontal="left" vertical="top" wrapText="1"/>
    </xf>
    <xf numFmtId="0" fontId="0" fillId="37" borderId="0" xfId="0" applyFill="1" applyAlignment="1">
      <alignment/>
    </xf>
    <xf numFmtId="9" fontId="7" fillId="40" borderId="32" xfId="0" applyNumberFormat="1" applyFont="1" applyFill="1" applyBorder="1" applyAlignment="1">
      <alignment horizontal="center" vertical="top"/>
    </xf>
    <xf numFmtId="9" fontId="7" fillId="40" borderId="33" xfId="0" applyNumberFormat="1" applyFont="1" applyFill="1" applyBorder="1" applyAlignment="1">
      <alignment horizontal="center" vertical="top"/>
    </xf>
    <xf numFmtId="9" fontId="7" fillId="40" borderId="34" xfId="0" applyNumberFormat="1" applyFont="1" applyFill="1" applyBorder="1" applyAlignment="1">
      <alignment horizontal="center" vertical="top"/>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17" xfId="0" applyBorder="1" applyAlignment="1">
      <alignment horizontal="left" vertical="top" wrapText="1"/>
    </xf>
    <xf numFmtId="0" fontId="0" fillId="0" borderId="41" xfId="0" applyBorder="1" applyAlignment="1">
      <alignment horizontal="left" vertical="top" wrapText="1"/>
    </xf>
    <xf numFmtId="0" fontId="7" fillId="40" borderId="32" xfId="0" applyFont="1" applyFill="1" applyBorder="1" applyAlignment="1">
      <alignment horizontal="center" vertical="top" wrapText="1"/>
    </xf>
    <xf numFmtId="0" fontId="7" fillId="40" borderId="33" xfId="0" applyFont="1" applyFill="1" applyBorder="1" applyAlignment="1">
      <alignment horizontal="center" vertical="top" wrapText="1"/>
    </xf>
    <xf numFmtId="0" fontId="7" fillId="40" borderId="34" xfId="0" applyFont="1" applyFill="1" applyBorder="1" applyAlignment="1">
      <alignment horizontal="center" vertical="top" wrapText="1"/>
    </xf>
    <xf numFmtId="0" fontId="0" fillId="0" borderId="35" xfId="0" applyBorder="1" applyAlignment="1">
      <alignment horizontal="center" vertical="top"/>
    </xf>
    <xf numFmtId="0" fontId="0" fillId="0" borderId="11" xfId="0" applyBorder="1" applyAlignment="1">
      <alignment horizontal="center" vertical="top"/>
    </xf>
    <xf numFmtId="0" fontId="0" fillId="0" borderId="20" xfId="0" applyBorder="1" applyAlignment="1">
      <alignment horizontal="center" vertical="top"/>
    </xf>
    <xf numFmtId="0" fontId="19" fillId="8" borderId="20" xfId="21" applyFont="1" applyBorder="1" applyAlignment="1">
      <alignment horizontal="center"/>
    </xf>
    <xf numFmtId="0" fontId="7" fillId="0" borderId="35" xfId="0" applyFont="1" applyBorder="1" applyAlignment="1">
      <alignment horizontal="center" vertical="top"/>
    </xf>
    <xf numFmtId="0" fontId="7" fillId="40" borderId="32" xfId="0" applyFont="1" applyFill="1" applyBorder="1" applyAlignment="1">
      <alignment horizontal="center" vertical="top"/>
    </xf>
    <xf numFmtId="0" fontId="7" fillId="40" borderId="33" xfId="0" applyFont="1" applyFill="1" applyBorder="1" applyAlignment="1">
      <alignment horizontal="center" vertical="top"/>
    </xf>
    <xf numFmtId="0" fontId="7" fillId="40" borderId="34" xfId="0" applyFont="1" applyFill="1" applyBorder="1" applyAlignment="1">
      <alignment horizontal="center" vertical="top"/>
    </xf>
    <xf numFmtId="0" fontId="7" fillId="40" borderId="11" xfId="0" applyFont="1" applyFill="1" applyBorder="1" applyAlignment="1">
      <alignment horizontal="center" vertical="top" wrapText="1"/>
    </xf>
    <xf numFmtId="9" fontId="7" fillId="35" borderId="35" xfId="0" applyNumberFormat="1" applyFont="1" applyFill="1" applyBorder="1" applyAlignment="1">
      <alignment horizontal="center" vertical="top"/>
    </xf>
    <xf numFmtId="0" fontId="7" fillId="35" borderId="11" xfId="0" applyFont="1" applyFill="1" applyBorder="1" applyAlignment="1">
      <alignment horizontal="center" vertical="top"/>
    </xf>
    <xf numFmtId="0" fontId="7" fillId="35" borderId="20" xfId="0" applyFont="1" applyFill="1" applyBorder="1" applyAlignment="1">
      <alignment horizontal="center" vertical="top"/>
    </xf>
    <xf numFmtId="0" fontId="50" fillId="34" borderId="11" xfId="53"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2275"/>
          <c:w val="0.9265"/>
          <c:h val="0.923"/>
        </c:manualLayout>
      </c:layout>
      <c:barChart>
        <c:barDir val="col"/>
        <c:grouping val="clustered"/>
        <c:varyColors val="0"/>
        <c:ser>
          <c:idx val="0"/>
          <c:order val="1"/>
          <c:tx>
            <c:v>Annual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Introduction!$B$23:$I$23</c:f>
              <c:numCache/>
            </c:numRef>
          </c:val>
        </c:ser>
        <c:axId val="14397777"/>
        <c:axId val="62471130"/>
      </c:barChart>
      <c:lineChart>
        <c:grouping val="standard"/>
        <c:varyColors val="0"/>
        <c:ser>
          <c:idx val="1"/>
          <c:order val="0"/>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Introduction!$B$22:$I$22</c:f>
              <c:strCache/>
            </c:strRef>
          </c:cat>
          <c:val>
            <c:numRef>
              <c:f>Introduction!$B$24:$I$24</c:f>
              <c:numCache/>
            </c:numRef>
          </c:val>
          <c:smooth val="0"/>
        </c:ser>
        <c:axId val="14397777"/>
        <c:axId val="62471130"/>
      </c:lineChart>
      <c:catAx>
        <c:axId val="143977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471130"/>
        <c:crosses val="autoZero"/>
        <c:auto val="1"/>
        <c:lblOffset val="100"/>
        <c:tickLblSkip val="1"/>
        <c:noMultiLvlLbl val="0"/>
      </c:catAx>
      <c:valAx>
        <c:axId val="624711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97777"/>
        <c:crossesAt val="1"/>
        <c:crossBetween val="between"/>
        <c:dispUnits/>
      </c:valAx>
      <c:spPr>
        <a:solidFill>
          <a:srgbClr val="FFFFFF"/>
        </a:solidFill>
        <a:ln w="3175">
          <a:noFill/>
        </a:ln>
      </c:spPr>
    </c:plotArea>
    <c:legend>
      <c:legendPos val="r"/>
      <c:layout>
        <c:manualLayout>
          <c:xMode val="edge"/>
          <c:yMode val="edge"/>
          <c:x val="0.15475"/>
          <c:y val="0.875"/>
          <c:w val="0.83725"/>
          <c:h val="0.097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425"/>
          <c:w val="0.897"/>
          <c:h val="0.8595"/>
        </c:manualLayout>
      </c:layout>
      <c:barChart>
        <c:barDir val="col"/>
        <c:grouping val="clustered"/>
        <c:varyColors val="0"/>
        <c:ser>
          <c:idx val="0"/>
          <c:order val="0"/>
          <c:tx>
            <c:v>Annual Net Cash Flow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'Executive Summary'!$B$41:$P$41</c:f>
              <c:strCache/>
            </c:strRef>
          </c:cat>
          <c:val>
            <c:numRef>
              <c:f>'Executive Summary'!$B$42:$P$42</c:f>
              <c:numCache/>
            </c:numRef>
          </c:val>
        </c:ser>
        <c:axId val="25369259"/>
        <c:axId val="26996740"/>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'Executive Summary'!$B$41:$P$41</c:f>
              <c:strCache/>
            </c:strRef>
          </c:cat>
          <c:val>
            <c:numRef>
              <c:f>'Executive Summary'!$B$43:$P$43</c:f>
              <c:numCache/>
            </c:numRef>
          </c:val>
          <c:smooth val="0"/>
        </c:ser>
        <c:axId val="25369259"/>
        <c:axId val="26996740"/>
      </c:lineChart>
      <c:catAx>
        <c:axId val="2536925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996740"/>
        <c:crosses val="autoZero"/>
        <c:auto val="1"/>
        <c:lblOffset val="100"/>
        <c:tickLblSkip val="1"/>
        <c:noMultiLvlLbl val="0"/>
      </c:catAx>
      <c:valAx>
        <c:axId val="2699674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Cash Flow ($ CAD)</a:t>
                </a:r>
              </a:p>
            </c:rich>
          </c:tx>
          <c:layout>
            <c:manualLayout>
              <c:xMode val="factor"/>
              <c:yMode val="factor"/>
              <c:x val="-0.0025"/>
              <c:y val="0.001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369259"/>
        <c:crossesAt val="1"/>
        <c:crossBetween val="between"/>
        <c:dispUnits/>
      </c:valAx>
      <c:spPr>
        <a:solidFill>
          <a:srgbClr val="FFFFFF"/>
        </a:solidFill>
        <a:ln w="3175">
          <a:noFill/>
        </a:ln>
      </c:spPr>
    </c:plotArea>
    <c:legend>
      <c:legendPos val="r"/>
      <c:layout>
        <c:manualLayout>
          <c:xMode val="edge"/>
          <c:yMode val="edge"/>
          <c:x val="0.2175"/>
          <c:y val="0.8615"/>
          <c:w val="0.624"/>
          <c:h val="0.134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0125"/>
          <c:w val="0.69875"/>
          <c:h val="0.9415"/>
        </c:manualLayout>
      </c:layout>
      <c:barChart>
        <c:barDir val="col"/>
        <c:grouping val="stacked"/>
        <c:varyColors val="0"/>
        <c:ser>
          <c:idx val="1"/>
          <c:order val="0"/>
          <c:tx>
            <c:v>Year 1</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Summary'!$C$44</c:f>
              <c:numCache/>
            </c:numRef>
          </c:val>
        </c:ser>
        <c:ser>
          <c:idx val="2"/>
          <c:order val="1"/>
          <c:tx>
            <c:v>Year 2</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Summary'!$D$44</c:f>
              <c:numCache/>
            </c:numRef>
          </c:val>
        </c:ser>
        <c:ser>
          <c:idx val="3"/>
          <c:order val="2"/>
          <c:tx>
            <c:v>Year 3</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Summary'!$E$44</c:f>
              <c:numCache/>
            </c:numRef>
          </c:val>
        </c:ser>
        <c:ser>
          <c:idx val="4"/>
          <c:order val="3"/>
          <c:tx>
            <c:v>Year 4</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Summary'!$F$44</c:f>
              <c:numCache/>
            </c:numRef>
          </c:val>
        </c:ser>
        <c:ser>
          <c:idx val="5"/>
          <c:order val="4"/>
          <c:tx>
            <c:v>Year 5</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Summary'!$G$44</c:f>
              <c:numCache/>
            </c:numRef>
          </c:val>
        </c:ser>
        <c:ser>
          <c:idx val="0"/>
          <c:order val="5"/>
          <c:tx>
            <c:strRef>
              <c:f>'Executive Summary'!$H$41</c:f>
              <c:strCache>
                <c:ptCount val="1"/>
                <c:pt idx="0">
                  <c:v>Year 6</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Summary'!$H$44</c:f>
              <c:numCache/>
            </c:numRef>
          </c:val>
        </c:ser>
        <c:ser>
          <c:idx val="6"/>
          <c:order val="6"/>
          <c:tx>
            <c:strRef>
              <c:f>'Executive Summary'!$I$41</c:f>
              <c:strCache>
                <c:ptCount val="1"/>
                <c:pt idx="0">
                  <c:v>Year 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Summary'!$I$44</c:f>
              <c:numCache/>
            </c:numRef>
          </c:val>
        </c:ser>
        <c:ser>
          <c:idx val="7"/>
          <c:order val="7"/>
          <c:tx>
            <c:strRef>
              <c:f>'Executive Summary'!$J$41</c:f>
              <c:strCache>
                <c:ptCount val="1"/>
                <c:pt idx="0">
                  <c:v>Year 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Summary'!$J$44</c:f>
              <c:numCache/>
            </c:numRef>
          </c:val>
        </c:ser>
        <c:ser>
          <c:idx val="8"/>
          <c:order val="8"/>
          <c:tx>
            <c:strRef>
              <c:f>'Executive Summary'!$K$41</c:f>
              <c:strCache>
                <c:ptCount val="1"/>
                <c:pt idx="0">
                  <c:v>Year 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Summary'!$K$44</c:f>
              <c:numCache/>
            </c:numRef>
          </c:val>
        </c:ser>
        <c:ser>
          <c:idx val="9"/>
          <c:order val="9"/>
          <c:tx>
            <c:strRef>
              <c:f>'Executive Summary'!$L$41</c:f>
              <c:strCache>
                <c:ptCount val="1"/>
                <c:pt idx="0">
                  <c:v>Year 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Summary'!$L$44</c:f>
              <c:numCache/>
            </c:numRef>
          </c:val>
        </c:ser>
        <c:ser>
          <c:idx val="10"/>
          <c:order val="10"/>
          <c:tx>
            <c:strRef>
              <c:f>'Executive Summary'!$M$41</c:f>
              <c:strCache>
                <c:ptCount val="1"/>
                <c:pt idx="0">
                  <c:v>Year 11</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Summary'!$M$44</c:f>
              <c:numCache/>
            </c:numRef>
          </c:val>
        </c:ser>
        <c:ser>
          <c:idx val="11"/>
          <c:order val="11"/>
          <c:tx>
            <c:strRef>
              <c:f>'Executive Summary'!$N$41</c:f>
              <c:strCache>
                <c:ptCount val="1"/>
                <c:pt idx="0">
                  <c:v>Year 12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Summary'!$N$44</c:f>
              <c:numCache/>
            </c:numRef>
          </c:val>
        </c:ser>
        <c:ser>
          <c:idx val="12"/>
          <c:order val="12"/>
          <c:tx>
            <c:strRef>
              <c:f>'Executive Summary'!$O$41</c:f>
              <c:strCache>
                <c:ptCount val="1"/>
                <c:pt idx="0">
                  <c:v>Year 13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Summary'!$O$44</c:f>
              <c:numCache/>
            </c:numRef>
          </c:val>
        </c:ser>
        <c:ser>
          <c:idx val="13"/>
          <c:order val="13"/>
          <c:tx>
            <c:strRef>
              <c:f>'Executive Summary'!$P$41</c:f>
              <c:strCache>
                <c:ptCount val="1"/>
                <c:pt idx="0">
                  <c:v>Year 14</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Summary'!$P$44</c:f>
              <c:numCache/>
            </c:numRef>
          </c:val>
        </c:ser>
        <c:overlap val="100"/>
        <c:gapWidth val="75"/>
        <c:axId val="41644069"/>
        <c:axId val="39252302"/>
      </c:barChart>
      <c:catAx>
        <c:axId val="416440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Cumulative CO</a:t>
                </a:r>
                <a:r>
                  <a:rPr lang="en-US" cap="none" sz="1000" b="1" i="0" u="none" baseline="-25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 Savings (kg)</a:t>
                </a:r>
              </a:p>
            </c:rich>
          </c:tx>
          <c:layout>
            <c:manualLayout>
              <c:xMode val="factor"/>
              <c:yMode val="factor"/>
              <c:x val="0.0135"/>
              <c:y val="-0.001"/>
            </c:manualLayout>
          </c:layout>
          <c:overlay val="0"/>
          <c:spPr>
            <a:noFill/>
            <a:ln>
              <a:noFill/>
            </a:ln>
          </c:spPr>
        </c:title>
        <c:delete val="1"/>
        <c:majorTickMark val="out"/>
        <c:minorTickMark val="none"/>
        <c:tickLblPos val="none"/>
        <c:crossAx val="39252302"/>
        <c:crosses val="autoZero"/>
        <c:auto val="1"/>
        <c:lblOffset val="100"/>
        <c:tickLblSkip val="1"/>
        <c:noMultiLvlLbl val="0"/>
      </c:catAx>
      <c:valAx>
        <c:axId val="392523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1644069"/>
        <c:crossesAt val="1"/>
        <c:crossBetween val="between"/>
        <c:dispUnits/>
      </c:valAx>
      <c:spPr>
        <a:solidFill>
          <a:srgbClr val="FFFFFF"/>
        </a:solidFill>
        <a:ln w="3175">
          <a:noFill/>
        </a:ln>
      </c:spPr>
    </c:plotArea>
    <c:legend>
      <c:legendPos val="r"/>
      <c:layout>
        <c:manualLayout>
          <c:xMode val="edge"/>
          <c:yMode val="edge"/>
          <c:x val="0.7155"/>
          <c:y val="0.023"/>
          <c:w val="0.26925"/>
          <c:h val="0.935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3"/>
          <c:w val="0.94025"/>
          <c:h val="0.6935"/>
        </c:manualLayout>
      </c:layout>
      <c:lineChart>
        <c:grouping val="standard"/>
        <c:varyColors val="0"/>
        <c:ser>
          <c:idx val="0"/>
          <c:order val="0"/>
          <c:tx>
            <c:v>Risk free rates of return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og"/>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val>
            <c:numRef>
              <c:f>Assumptions!$N$29:$T$29</c:f>
              <c:numCache/>
            </c:numRef>
          </c:val>
          <c:smooth val="0"/>
        </c:ser>
        <c:marker val="1"/>
        <c:axId val="17726399"/>
        <c:axId val="25319864"/>
      </c:lineChart>
      <c:catAx>
        <c:axId val="17726399"/>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5319864"/>
        <c:crosses val="autoZero"/>
        <c:auto val="1"/>
        <c:lblOffset val="100"/>
        <c:tickLblSkip val="1"/>
        <c:noMultiLvlLbl val="0"/>
      </c:catAx>
      <c:valAx>
        <c:axId val="25319864"/>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Risk free rates of return (%)</a:t>
                </a:r>
              </a:p>
            </c:rich>
          </c:tx>
          <c:layout>
            <c:manualLayout>
              <c:xMode val="factor"/>
              <c:yMode val="factor"/>
              <c:x val="0.004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26399"/>
        <c:crossesAt val="1"/>
        <c:crossBetween val="between"/>
        <c:dispUnits/>
      </c:valAx>
      <c:spPr>
        <a:solidFill>
          <a:srgbClr val="FFFFFF"/>
        </a:solidFill>
        <a:ln w="3175">
          <a:noFill/>
        </a:ln>
      </c:spPr>
    </c:plotArea>
    <c:legend>
      <c:legendPos val="r"/>
      <c:layout>
        <c:manualLayout>
          <c:xMode val="edge"/>
          <c:yMode val="edge"/>
          <c:x val="0.12325"/>
          <c:y val="0.864"/>
          <c:w val="0.74425"/>
          <c:h val="0.114"/>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7</xdr:row>
      <xdr:rowOff>190500</xdr:rowOff>
    </xdr:from>
    <xdr:to>
      <xdr:col>7</xdr:col>
      <xdr:colOff>190500</xdr:colOff>
      <xdr:row>19</xdr:row>
      <xdr:rowOff>19050</xdr:rowOff>
    </xdr:to>
    <xdr:graphicFrame>
      <xdr:nvGraphicFramePr>
        <xdr:cNvPr id="1" name="Chart 3"/>
        <xdr:cNvGraphicFramePr/>
      </xdr:nvGraphicFramePr>
      <xdr:xfrm>
        <a:off x="990600" y="3781425"/>
        <a:ext cx="3714750" cy="2143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13</xdr:row>
      <xdr:rowOff>28575</xdr:rowOff>
    </xdr:from>
    <xdr:to>
      <xdr:col>6</xdr:col>
      <xdr:colOff>95250</xdr:colOff>
      <xdr:row>25</xdr:row>
      <xdr:rowOff>28575</xdr:rowOff>
    </xdr:to>
    <xdr:graphicFrame>
      <xdr:nvGraphicFramePr>
        <xdr:cNvPr id="1" name="Chart 2"/>
        <xdr:cNvGraphicFramePr/>
      </xdr:nvGraphicFramePr>
      <xdr:xfrm>
        <a:off x="333375" y="5010150"/>
        <a:ext cx="4467225" cy="228600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26</xdr:row>
      <xdr:rowOff>9525</xdr:rowOff>
    </xdr:from>
    <xdr:to>
      <xdr:col>6</xdr:col>
      <xdr:colOff>47625</xdr:colOff>
      <xdr:row>37</xdr:row>
      <xdr:rowOff>66675</xdr:rowOff>
    </xdr:to>
    <xdr:graphicFrame>
      <xdr:nvGraphicFramePr>
        <xdr:cNvPr id="2" name="Chart 3"/>
        <xdr:cNvGraphicFramePr/>
      </xdr:nvGraphicFramePr>
      <xdr:xfrm>
        <a:off x="314325" y="7467600"/>
        <a:ext cx="4438650" cy="2152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85725</xdr:rowOff>
    </xdr:from>
    <xdr:to>
      <xdr:col>24</xdr:col>
      <xdr:colOff>247650</xdr:colOff>
      <xdr:row>25</xdr:row>
      <xdr:rowOff>104775</xdr:rowOff>
    </xdr:to>
    <xdr:graphicFrame>
      <xdr:nvGraphicFramePr>
        <xdr:cNvPr id="1" name="Chart 1"/>
        <xdr:cNvGraphicFramePr/>
      </xdr:nvGraphicFramePr>
      <xdr:xfrm>
        <a:off x="6581775" y="2628900"/>
        <a:ext cx="4181475"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236"/>
  <sheetViews>
    <sheetView tabSelected="1" zoomScale="85" zoomScaleNormal="85" zoomScaleSheetLayoutView="85" workbookViewId="0" topLeftCell="A1">
      <selection activeCell="J15" sqref="J15"/>
    </sheetView>
  </sheetViews>
  <sheetFormatPr defaultColWidth="8.7109375" defaultRowHeight="15"/>
  <cols>
    <col min="1" max="1" width="13.7109375" style="0" customWidth="1"/>
    <col min="2" max="2" width="9.7109375" style="0" customWidth="1"/>
    <col min="3" max="4" width="8.8515625" style="0" customWidth="1"/>
    <col min="5" max="6" width="8.7109375" style="0" customWidth="1"/>
    <col min="7" max="7" width="9.140625" style="0" customWidth="1"/>
    <col min="8" max="8" width="9.28125" style="0" customWidth="1"/>
    <col min="9" max="9" width="10.00390625" style="0" bestFit="1" customWidth="1"/>
  </cols>
  <sheetData>
    <row r="1" spans="1:23" ht="19.5" thickBot="1">
      <c r="A1" s="116" t="s">
        <v>92</v>
      </c>
      <c r="B1" s="117"/>
      <c r="C1" s="117"/>
      <c r="D1" s="117"/>
      <c r="E1" s="117"/>
      <c r="F1" s="117"/>
      <c r="G1" s="117"/>
      <c r="H1" s="117"/>
      <c r="I1" s="118"/>
      <c r="J1" s="16"/>
      <c r="K1" s="16"/>
      <c r="L1" s="16"/>
      <c r="M1" s="16"/>
      <c r="N1" s="16"/>
      <c r="O1" s="16"/>
      <c r="P1" s="16"/>
      <c r="Q1" s="85"/>
      <c r="R1" s="85"/>
      <c r="S1" s="85"/>
      <c r="T1" s="85"/>
      <c r="U1" s="85"/>
      <c r="V1" s="85"/>
      <c r="W1" s="85"/>
    </row>
    <row r="2" spans="1:23" ht="18.75">
      <c r="A2" s="17"/>
      <c r="B2" s="16"/>
      <c r="C2" s="16"/>
      <c r="D2" s="16"/>
      <c r="E2" s="16"/>
      <c r="F2" s="16"/>
      <c r="G2" s="16"/>
      <c r="H2" s="16"/>
      <c r="I2" s="16"/>
      <c r="J2" s="16"/>
      <c r="K2" s="16"/>
      <c r="L2" s="16"/>
      <c r="M2" s="16"/>
      <c r="N2" s="16"/>
      <c r="O2" s="16"/>
      <c r="P2" s="16"/>
      <c r="Q2" s="85"/>
      <c r="R2" s="85"/>
      <c r="S2" s="85"/>
      <c r="T2" s="85"/>
      <c r="U2" s="85"/>
      <c r="V2" s="85"/>
      <c r="W2" s="85"/>
    </row>
    <row r="3" spans="1:23" ht="133.5" customHeight="1">
      <c r="A3" s="121" t="s">
        <v>108</v>
      </c>
      <c r="B3" s="122"/>
      <c r="C3" s="122"/>
      <c r="D3" s="122"/>
      <c r="E3" s="122"/>
      <c r="F3" s="122"/>
      <c r="G3" s="122"/>
      <c r="H3" s="122"/>
      <c r="I3" s="123"/>
      <c r="J3" s="16"/>
      <c r="K3" s="16"/>
      <c r="L3" s="16"/>
      <c r="M3" s="16"/>
      <c r="N3" s="16"/>
      <c r="O3" s="16"/>
      <c r="P3" s="16"/>
      <c r="Q3" s="85"/>
      <c r="R3" s="85"/>
      <c r="S3" s="85"/>
      <c r="T3" s="85"/>
      <c r="U3" s="85"/>
      <c r="V3" s="85"/>
      <c r="W3" s="85"/>
    </row>
    <row r="4" spans="1:23" ht="15">
      <c r="A4" s="18" t="s">
        <v>94</v>
      </c>
      <c r="B4" s="16"/>
      <c r="C4" s="16"/>
      <c r="D4" s="16"/>
      <c r="E4" s="16"/>
      <c r="F4" s="16"/>
      <c r="G4" s="16"/>
      <c r="H4" s="16"/>
      <c r="I4" s="16"/>
      <c r="J4" s="16"/>
      <c r="K4" s="16"/>
      <c r="L4" s="16"/>
      <c r="M4" s="16"/>
      <c r="N4" s="16"/>
      <c r="O4" s="16"/>
      <c r="P4" s="16"/>
      <c r="Q4" s="85"/>
      <c r="R4" s="85"/>
      <c r="S4" s="85"/>
      <c r="T4" s="85"/>
      <c r="U4" s="85"/>
      <c r="V4" s="85"/>
      <c r="W4" s="85"/>
    </row>
    <row r="5" spans="1:23" ht="60.75" customHeight="1">
      <c r="A5" s="121" t="str">
        <f>"For a building with only one vending machine in use, the cost of operating that vending machine is $279.55 per year. Employing the services of a technician for 30 minutes at a rate of  $"&amp;TEXT('Input Page'!B17,"###")&amp;" / h to install the unit can reduce the operating cost of that vending machine by $128.59 each year. Most buildings have multiple vending machines and the cumulative savings from the implementation of such a device can be significant."</f>
        <v>For a building with only one vending machine in use, the cost of operating that vending machine is $279.55 per year. Employing the services of a technician for 30 minutes at a rate of  $30 / h to install the unit can reduce the operating cost of that vending machine by $128.59 each year. Most buildings have multiple vending machines and the cumulative savings from the implementation of such a device can be significant.</v>
      </c>
      <c r="B5" s="122"/>
      <c r="C5" s="122"/>
      <c r="D5" s="122"/>
      <c r="E5" s="122"/>
      <c r="F5" s="122"/>
      <c r="G5" s="122"/>
      <c r="H5" s="122"/>
      <c r="I5" s="123"/>
      <c r="J5" s="16"/>
      <c r="K5" s="16"/>
      <c r="L5" s="16"/>
      <c r="M5" s="16"/>
      <c r="N5" s="16"/>
      <c r="O5" s="16"/>
      <c r="P5" s="16"/>
      <c r="Q5" s="85"/>
      <c r="R5" s="85"/>
      <c r="S5" s="85"/>
      <c r="T5" s="85"/>
      <c r="U5" s="85"/>
      <c r="V5" s="85"/>
      <c r="W5" s="85"/>
    </row>
    <row r="6" spans="1:23" ht="17.25" customHeight="1">
      <c r="A6" s="64"/>
      <c r="B6" s="119" t="s">
        <v>19</v>
      </c>
      <c r="C6" s="119"/>
      <c r="D6" s="83">
        <v>546.712626698767</v>
      </c>
      <c r="E6" s="16"/>
      <c r="F6" s="16"/>
      <c r="G6" s="16"/>
      <c r="H6" s="16"/>
      <c r="I6" s="16"/>
      <c r="J6" s="16"/>
      <c r="K6" s="16"/>
      <c r="L6" s="16"/>
      <c r="M6" s="16"/>
      <c r="N6" s="16"/>
      <c r="O6" s="16"/>
      <c r="P6" s="16"/>
      <c r="Q6" s="85"/>
      <c r="R6" s="85"/>
      <c r="S6" s="85"/>
      <c r="T6" s="85"/>
      <c r="U6" s="85"/>
      <c r="V6" s="85"/>
      <c r="W6" s="85"/>
    </row>
    <row r="7" spans="1:23" ht="18">
      <c r="A7" s="16"/>
      <c r="B7" s="120" t="s">
        <v>22</v>
      </c>
      <c r="C7" s="120"/>
      <c r="D7" s="65">
        <v>2707.891199999999</v>
      </c>
      <c r="E7" s="16" t="s">
        <v>103</v>
      </c>
      <c r="F7" s="22"/>
      <c r="G7" s="16"/>
      <c r="H7" s="16"/>
      <c r="I7" s="16"/>
      <c r="J7" s="16"/>
      <c r="K7" s="16"/>
      <c r="L7" s="16"/>
      <c r="M7" s="16"/>
      <c r="N7" s="16"/>
      <c r="O7" s="16"/>
      <c r="P7" s="16"/>
      <c r="Q7" s="85"/>
      <c r="R7" s="85"/>
      <c r="S7" s="85"/>
      <c r="T7" s="85"/>
      <c r="U7" s="85"/>
      <c r="V7" s="85"/>
      <c r="W7" s="85"/>
    </row>
    <row r="8" spans="1:23" ht="15.75" customHeight="1">
      <c r="A8" s="16"/>
      <c r="B8" s="27"/>
      <c r="C8" s="16"/>
      <c r="D8" s="16"/>
      <c r="E8" s="16"/>
      <c r="F8" s="16"/>
      <c r="G8" s="16"/>
      <c r="H8" s="16"/>
      <c r="I8" s="16"/>
      <c r="J8" s="16"/>
      <c r="K8" s="16"/>
      <c r="L8" s="16"/>
      <c r="M8" s="16"/>
      <c r="N8" s="16"/>
      <c r="O8" s="16"/>
      <c r="P8" s="16"/>
      <c r="Q8" s="85"/>
      <c r="R8" s="85"/>
      <c r="S8" s="85"/>
      <c r="T8" s="85"/>
      <c r="U8" s="85"/>
      <c r="V8" s="85"/>
      <c r="W8" s="85"/>
    </row>
    <row r="9" spans="1:23" ht="15">
      <c r="A9" s="16"/>
      <c r="B9" s="16"/>
      <c r="C9" s="16"/>
      <c r="D9" s="16"/>
      <c r="E9" s="16"/>
      <c r="F9" s="16"/>
      <c r="G9" s="16"/>
      <c r="H9" s="16"/>
      <c r="I9" s="16"/>
      <c r="J9" s="16"/>
      <c r="K9" s="16"/>
      <c r="L9" s="16"/>
      <c r="M9" s="16"/>
      <c r="N9" s="16"/>
      <c r="O9" s="16"/>
      <c r="P9" s="16"/>
      <c r="Q9" s="85"/>
      <c r="R9" s="85"/>
      <c r="S9" s="85"/>
      <c r="T9" s="85"/>
      <c r="U9" s="85"/>
      <c r="V9" s="85"/>
      <c r="W9" s="85"/>
    </row>
    <row r="10" spans="1:23" ht="15">
      <c r="A10" s="16"/>
      <c r="B10" s="16"/>
      <c r="C10" s="16"/>
      <c r="D10" s="16"/>
      <c r="E10" s="16"/>
      <c r="F10" s="16"/>
      <c r="G10" s="16"/>
      <c r="H10" s="16"/>
      <c r="I10" s="16"/>
      <c r="J10" s="16"/>
      <c r="K10" s="16"/>
      <c r="L10" s="16"/>
      <c r="M10" s="16"/>
      <c r="N10" s="16"/>
      <c r="O10" s="16"/>
      <c r="P10" s="16"/>
      <c r="Q10" s="85"/>
      <c r="R10" s="85"/>
      <c r="S10" s="85"/>
      <c r="T10" s="85"/>
      <c r="U10" s="85"/>
      <c r="V10" s="85"/>
      <c r="W10" s="85"/>
    </row>
    <row r="11" spans="1:23" ht="15">
      <c r="A11" s="16"/>
      <c r="B11" s="16"/>
      <c r="C11" s="16"/>
      <c r="D11" s="16"/>
      <c r="E11" s="16"/>
      <c r="F11" s="16"/>
      <c r="G11" s="16"/>
      <c r="H11" s="16"/>
      <c r="I11" s="16"/>
      <c r="J11" s="16"/>
      <c r="K11" s="16"/>
      <c r="L11" s="16"/>
      <c r="M11" s="16"/>
      <c r="N11" s="16"/>
      <c r="O11" s="16"/>
      <c r="P11" s="16"/>
      <c r="Q11" s="85"/>
      <c r="R11" s="85"/>
      <c r="S11" s="85"/>
      <c r="T11" s="85"/>
      <c r="U11" s="85"/>
      <c r="V11" s="85"/>
      <c r="W11" s="85"/>
    </row>
    <row r="12" spans="1:23" ht="15">
      <c r="A12" s="16"/>
      <c r="B12" s="16"/>
      <c r="C12" s="16"/>
      <c r="D12" s="16"/>
      <c r="E12" s="16"/>
      <c r="F12" s="16"/>
      <c r="G12" s="16"/>
      <c r="H12" s="16"/>
      <c r="I12" s="16"/>
      <c r="J12" s="16"/>
      <c r="K12" s="16"/>
      <c r="L12" s="16"/>
      <c r="M12" s="16"/>
      <c r="N12" s="16"/>
      <c r="O12" s="16"/>
      <c r="P12" s="16"/>
      <c r="Q12" s="85"/>
      <c r="R12" s="85"/>
      <c r="S12" s="85"/>
      <c r="T12" s="85"/>
      <c r="U12" s="85"/>
      <c r="V12" s="85"/>
      <c r="W12" s="85"/>
    </row>
    <row r="13" spans="1:23" ht="15">
      <c r="A13" s="16"/>
      <c r="B13" s="16"/>
      <c r="C13" s="16"/>
      <c r="D13" s="16"/>
      <c r="E13" s="16"/>
      <c r="F13" s="16"/>
      <c r="G13" s="16"/>
      <c r="H13" s="16"/>
      <c r="I13" s="16"/>
      <c r="J13" s="16"/>
      <c r="K13" s="16"/>
      <c r="L13" s="16"/>
      <c r="M13" s="16"/>
      <c r="N13" s="16"/>
      <c r="O13" s="16"/>
      <c r="P13" s="16"/>
      <c r="Q13" s="85"/>
      <c r="R13" s="85"/>
      <c r="S13" s="85"/>
      <c r="T13" s="85"/>
      <c r="U13" s="85"/>
      <c r="V13" s="85"/>
      <c r="W13" s="85"/>
    </row>
    <row r="14" spans="1:23" ht="15">
      <c r="A14" s="16"/>
      <c r="B14" s="16"/>
      <c r="C14" s="16"/>
      <c r="D14" s="16"/>
      <c r="E14" s="16"/>
      <c r="F14" s="16"/>
      <c r="G14" s="16"/>
      <c r="H14" s="16"/>
      <c r="I14" s="16"/>
      <c r="J14" s="16"/>
      <c r="K14" s="16"/>
      <c r="L14" s="16"/>
      <c r="M14" s="16"/>
      <c r="N14" s="16"/>
      <c r="O14" s="16"/>
      <c r="P14" s="16"/>
      <c r="Q14" s="85"/>
      <c r="R14" s="85"/>
      <c r="S14" s="85"/>
      <c r="T14" s="85"/>
      <c r="U14" s="85"/>
      <c r="V14" s="85"/>
      <c r="W14" s="85"/>
    </row>
    <row r="15" spans="1:23" ht="15">
      <c r="A15" s="16"/>
      <c r="B15" s="16"/>
      <c r="C15" s="16"/>
      <c r="D15" s="16"/>
      <c r="E15" s="16"/>
      <c r="F15" s="16"/>
      <c r="G15" s="16"/>
      <c r="H15" s="16"/>
      <c r="I15" s="16"/>
      <c r="J15" s="16"/>
      <c r="K15" s="16"/>
      <c r="L15" s="16"/>
      <c r="M15" s="16"/>
      <c r="N15" s="16"/>
      <c r="O15" s="16"/>
      <c r="P15" s="16"/>
      <c r="Q15" s="85"/>
      <c r="R15" s="85"/>
      <c r="S15" s="85"/>
      <c r="T15" s="85"/>
      <c r="U15" s="85"/>
      <c r="V15" s="85"/>
      <c r="W15" s="85"/>
    </row>
    <row r="16" spans="1:23" ht="15.75" customHeight="1">
      <c r="A16" s="16"/>
      <c r="B16" s="16"/>
      <c r="C16" s="16"/>
      <c r="D16" s="16"/>
      <c r="E16" s="16"/>
      <c r="F16" s="16"/>
      <c r="G16" s="16"/>
      <c r="H16" s="16"/>
      <c r="I16" s="16"/>
      <c r="J16" s="16"/>
      <c r="K16" s="16"/>
      <c r="L16" s="16"/>
      <c r="M16" s="16"/>
      <c r="N16" s="16"/>
      <c r="O16" s="16"/>
      <c r="P16" s="16"/>
      <c r="Q16" s="85"/>
      <c r="R16" s="85"/>
      <c r="S16" s="85"/>
      <c r="T16" s="85"/>
      <c r="U16" s="85"/>
      <c r="V16" s="85"/>
      <c r="W16" s="85"/>
    </row>
    <row r="17" spans="1:23" ht="15.75" customHeight="1">
      <c r="A17" s="16"/>
      <c r="B17" s="16"/>
      <c r="C17" s="16"/>
      <c r="D17" s="16"/>
      <c r="E17" s="16"/>
      <c r="F17" s="16"/>
      <c r="G17" s="16"/>
      <c r="H17" s="16"/>
      <c r="I17" s="16"/>
      <c r="J17" s="16"/>
      <c r="K17" s="16"/>
      <c r="L17" s="16"/>
      <c r="M17" s="16"/>
      <c r="N17" s="16"/>
      <c r="O17" s="16"/>
      <c r="P17" s="16"/>
      <c r="Q17" s="85"/>
      <c r="R17" s="85"/>
      <c r="S17" s="85"/>
      <c r="T17" s="85"/>
      <c r="U17" s="85"/>
      <c r="V17" s="85"/>
      <c r="W17" s="85"/>
    </row>
    <row r="18" spans="1:23" ht="15" customHeight="1">
      <c r="A18" s="16"/>
      <c r="B18" s="16"/>
      <c r="C18" s="16"/>
      <c r="D18" s="16"/>
      <c r="E18" s="16"/>
      <c r="F18" s="16"/>
      <c r="G18" s="16"/>
      <c r="H18" s="16"/>
      <c r="I18" s="16"/>
      <c r="J18" s="16"/>
      <c r="K18" s="16"/>
      <c r="L18" s="16"/>
      <c r="M18" s="16"/>
      <c r="N18" s="16"/>
      <c r="O18" s="16"/>
      <c r="P18" s="16"/>
      <c r="Q18" s="85"/>
      <c r="R18" s="85"/>
      <c r="S18" s="85"/>
      <c r="T18" s="85"/>
      <c r="U18" s="85"/>
      <c r="V18" s="85"/>
      <c r="W18" s="85"/>
    </row>
    <row r="19" spans="1:23" ht="15">
      <c r="A19" s="16"/>
      <c r="B19" s="16"/>
      <c r="C19" s="16"/>
      <c r="D19" s="16"/>
      <c r="E19" s="16"/>
      <c r="F19" s="16"/>
      <c r="G19" s="16"/>
      <c r="H19" s="16"/>
      <c r="I19" s="16"/>
      <c r="J19" s="16"/>
      <c r="K19" s="16"/>
      <c r="L19" s="16"/>
      <c r="M19" s="16"/>
      <c r="N19" s="16"/>
      <c r="O19" s="16"/>
      <c r="P19" s="16"/>
      <c r="Q19" s="85"/>
      <c r="R19" s="85"/>
      <c r="S19" s="85"/>
      <c r="T19" s="85"/>
      <c r="U19" s="85"/>
      <c r="V19" s="85"/>
      <c r="W19" s="85"/>
    </row>
    <row r="20" spans="1:23" ht="15">
      <c r="A20" s="105"/>
      <c r="B20" s="105"/>
      <c r="C20" s="105"/>
      <c r="D20" s="105"/>
      <c r="E20" s="105"/>
      <c r="F20" s="105"/>
      <c r="G20" s="105"/>
      <c r="H20" s="105"/>
      <c r="I20" s="105"/>
      <c r="J20" s="105"/>
      <c r="K20" s="105"/>
      <c r="L20" s="16"/>
      <c r="M20" s="16"/>
      <c r="N20" s="16"/>
      <c r="O20" s="16"/>
      <c r="P20" s="16"/>
      <c r="Q20" s="85"/>
      <c r="R20" s="85"/>
      <c r="S20" s="85"/>
      <c r="T20" s="85"/>
      <c r="U20" s="85"/>
      <c r="V20" s="85"/>
      <c r="W20" s="85"/>
    </row>
    <row r="21" spans="1:23" ht="15">
      <c r="A21" s="105"/>
      <c r="B21" s="105"/>
      <c r="C21" s="105"/>
      <c r="D21" s="105"/>
      <c r="E21" s="105"/>
      <c r="F21" s="105"/>
      <c r="G21" s="105"/>
      <c r="H21" s="105"/>
      <c r="I21" s="105"/>
      <c r="J21" s="105"/>
      <c r="K21" s="105"/>
      <c r="L21" s="16"/>
      <c r="M21" s="16"/>
      <c r="N21" s="16"/>
      <c r="O21" s="16"/>
      <c r="P21" s="16"/>
      <c r="Q21" s="85"/>
      <c r="R21" s="85"/>
      <c r="S21" s="85"/>
      <c r="T21" s="85"/>
      <c r="U21" s="85"/>
      <c r="V21" s="85"/>
      <c r="W21" s="85"/>
    </row>
    <row r="22" spans="1:23" ht="30" customHeight="1">
      <c r="A22" s="16"/>
      <c r="B22" s="87" t="s">
        <v>20</v>
      </c>
      <c r="C22" s="77" t="s">
        <v>83</v>
      </c>
      <c r="D22" s="77" t="s">
        <v>84</v>
      </c>
      <c r="E22" s="77" t="s">
        <v>85</v>
      </c>
      <c r="F22" s="77" t="s">
        <v>86</v>
      </c>
      <c r="G22" s="77" t="s">
        <v>87</v>
      </c>
      <c r="H22" s="77" t="s">
        <v>73</v>
      </c>
      <c r="I22" s="77" t="s">
        <v>74</v>
      </c>
      <c r="J22" s="16"/>
      <c r="K22" s="16"/>
      <c r="L22" s="16"/>
      <c r="M22" s="16"/>
      <c r="N22" s="16"/>
      <c r="O22" s="16"/>
      <c r="P22" s="16"/>
      <c r="Q22" s="85"/>
      <c r="R22" s="85"/>
      <c r="S22" s="85"/>
      <c r="T22" s="85"/>
      <c r="U22" s="85"/>
      <c r="V22" s="85"/>
      <c r="W22" s="85"/>
    </row>
    <row r="23" spans="1:23" ht="30" customHeight="1">
      <c r="A23" s="81" t="s">
        <v>21</v>
      </c>
      <c r="B23" s="98">
        <v>-215.545</v>
      </c>
      <c r="C23" s="98">
        <v>131.526144</v>
      </c>
      <c r="D23" s="98">
        <v>134.15666688000002</v>
      </c>
      <c r="E23" s="98">
        <v>136.83980021760001</v>
      </c>
      <c r="F23" s="98">
        <v>139.57659622195197</v>
      </c>
      <c r="G23" s="99">
        <v>-73.17687185360893</v>
      </c>
      <c r="H23" s="100">
        <v>145.21549070931889</v>
      </c>
      <c r="I23" s="100">
        <v>148.11980052350523</v>
      </c>
      <c r="J23" s="16"/>
      <c r="K23" s="16"/>
      <c r="L23" s="16"/>
      <c r="M23" s="16"/>
      <c r="N23" s="16"/>
      <c r="O23" s="16"/>
      <c r="P23" s="16"/>
      <c r="Q23" s="85"/>
      <c r="R23" s="85"/>
      <c r="S23" s="85"/>
      <c r="T23" s="85"/>
      <c r="U23" s="85"/>
      <c r="V23" s="85"/>
      <c r="W23" s="85"/>
    </row>
    <row r="24" spans="1:23" ht="29.25" customHeight="1">
      <c r="A24" s="81" t="s">
        <v>100</v>
      </c>
      <c r="B24" s="98">
        <v>-215.545</v>
      </c>
      <c r="C24" s="98">
        <v>-84.018856</v>
      </c>
      <c r="D24" s="98">
        <v>50.13781088000002</v>
      </c>
      <c r="E24" s="98">
        <v>186.97761109760003</v>
      </c>
      <c r="F24" s="98">
        <v>326.554207319552</v>
      </c>
      <c r="G24" s="100">
        <v>253.37733546594308</v>
      </c>
      <c r="H24" s="100">
        <v>398.59282617526196</v>
      </c>
      <c r="I24" s="100">
        <v>546.7126266987672</v>
      </c>
      <c r="J24" s="16"/>
      <c r="K24" s="16"/>
      <c r="L24" s="16"/>
      <c r="M24" s="16"/>
      <c r="N24" s="16"/>
      <c r="O24" s="16"/>
      <c r="P24" s="16"/>
      <c r="Q24" s="85"/>
      <c r="R24" s="85"/>
      <c r="S24" s="85"/>
      <c r="T24" s="85"/>
      <c r="U24" s="85"/>
      <c r="V24" s="85"/>
      <c r="W24" s="85"/>
    </row>
    <row r="25" spans="1:23" ht="15">
      <c r="A25" s="124" t="s">
        <v>105</v>
      </c>
      <c r="B25" s="124"/>
      <c r="C25" s="124"/>
      <c r="D25" s="124"/>
      <c r="E25" s="124"/>
      <c r="F25" s="124"/>
      <c r="G25" s="124"/>
      <c r="H25" s="125"/>
      <c r="I25" s="125"/>
      <c r="J25" s="16"/>
      <c r="K25" s="16"/>
      <c r="L25" s="16"/>
      <c r="M25" s="16"/>
      <c r="N25" s="16"/>
      <c r="O25" s="16"/>
      <c r="P25" s="16"/>
      <c r="Q25" s="85"/>
      <c r="R25" s="85"/>
      <c r="S25" s="85"/>
      <c r="T25" s="85"/>
      <c r="U25" s="85"/>
      <c r="V25" s="85"/>
      <c r="W25" s="85"/>
    </row>
    <row r="26" spans="1:23" ht="21.75" customHeight="1">
      <c r="A26" s="21" t="s">
        <v>97</v>
      </c>
      <c r="B26" s="21"/>
      <c r="C26" s="21"/>
      <c r="D26" s="21"/>
      <c r="E26" s="21"/>
      <c r="F26" s="21"/>
      <c r="G26" s="103"/>
      <c r="H26" s="16"/>
      <c r="J26" s="16"/>
      <c r="K26" s="16"/>
      <c r="L26" s="16"/>
      <c r="M26" s="16"/>
      <c r="N26" s="16"/>
      <c r="O26" s="16"/>
      <c r="P26" s="16"/>
      <c r="Q26" s="85"/>
      <c r="R26" s="85"/>
      <c r="S26" s="85"/>
      <c r="T26" s="85"/>
      <c r="U26" s="85"/>
      <c r="V26" s="85"/>
      <c r="W26" s="85"/>
    </row>
    <row r="27" spans="1:23" ht="62.25" customHeight="1">
      <c r="A27" s="114" t="s">
        <v>53</v>
      </c>
      <c r="B27" s="115"/>
      <c r="C27" s="115"/>
      <c r="D27" s="115"/>
      <c r="E27" s="115"/>
      <c r="F27" s="115"/>
      <c r="G27" s="115"/>
      <c r="H27" s="115"/>
      <c r="I27" s="115"/>
      <c r="J27" s="16"/>
      <c r="K27" s="16"/>
      <c r="L27" s="16"/>
      <c r="M27" s="16"/>
      <c r="N27" s="16"/>
      <c r="O27" s="16"/>
      <c r="P27" s="16"/>
      <c r="Q27" s="85"/>
      <c r="R27" s="85"/>
      <c r="S27" s="85"/>
      <c r="T27" s="85"/>
      <c r="U27" s="85"/>
      <c r="V27" s="85"/>
      <c r="W27" s="85"/>
    </row>
    <row r="28" spans="1:23" ht="15">
      <c r="A28" s="16"/>
      <c r="B28" s="16"/>
      <c r="C28" s="16"/>
      <c r="D28" s="16"/>
      <c r="E28" s="16"/>
      <c r="F28" s="16"/>
      <c r="G28" s="16"/>
      <c r="H28" s="16"/>
      <c r="I28" s="16"/>
      <c r="J28" s="16"/>
      <c r="K28" s="16"/>
      <c r="L28" s="16"/>
      <c r="M28" s="16"/>
      <c r="N28" s="16"/>
      <c r="O28" s="16"/>
      <c r="P28" s="16"/>
      <c r="Q28" s="85"/>
      <c r="R28" s="85"/>
      <c r="S28" s="85"/>
      <c r="T28" s="85"/>
      <c r="U28" s="85"/>
      <c r="V28" s="85"/>
      <c r="W28" s="85"/>
    </row>
    <row r="29" spans="1:23" ht="15">
      <c r="A29" s="16"/>
      <c r="B29" s="16"/>
      <c r="C29" s="16"/>
      <c r="D29" s="16"/>
      <c r="E29" s="16"/>
      <c r="F29" s="16"/>
      <c r="G29" s="16"/>
      <c r="H29" s="16"/>
      <c r="I29" s="16"/>
      <c r="J29" s="16"/>
      <c r="K29" s="16"/>
      <c r="L29" s="16"/>
      <c r="M29" s="16"/>
      <c r="N29" s="16"/>
      <c r="O29" s="16"/>
      <c r="P29" s="16"/>
      <c r="Q29" s="85"/>
      <c r="R29" s="85"/>
      <c r="S29" s="85"/>
      <c r="T29" s="85"/>
      <c r="U29" s="85"/>
      <c r="V29" s="85"/>
      <c r="W29" s="85"/>
    </row>
    <row r="30" spans="1:23" ht="62.25" customHeight="1">
      <c r="A30" s="16"/>
      <c r="B30" s="16"/>
      <c r="C30" s="16"/>
      <c r="D30" s="16"/>
      <c r="E30" s="16"/>
      <c r="F30" s="16"/>
      <c r="G30" s="16"/>
      <c r="H30" s="16"/>
      <c r="I30" s="16"/>
      <c r="J30" s="16"/>
      <c r="K30" s="16"/>
      <c r="L30" s="16"/>
      <c r="M30" s="16"/>
      <c r="N30" s="16"/>
      <c r="O30" s="16"/>
      <c r="P30" s="16"/>
      <c r="Q30" s="85"/>
      <c r="R30" s="85"/>
      <c r="S30" s="85"/>
      <c r="T30" s="85"/>
      <c r="U30" s="85"/>
      <c r="V30" s="85"/>
      <c r="W30" s="85"/>
    </row>
    <row r="31" spans="1:23" ht="15">
      <c r="A31" s="16"/>
      <c r="B31" s="16"/>
      <c r="C31" s="16"/>
      <c r="D31" s="16"/>
      <c r="E31" s="16"/>
      <c r="F31" s="16"/>
      <c r="G31" s="16"/>
      <c r="H31" s="16"/>
      <c r="I31" s="16"/>
      <c r="J31" s="16"/>
      <c r="K31" s="16"/>
      <c r="L31" s="16"/>
      <c r="M31" s="16"/>
      <c r="N31" s="16"/>
      <c r="O31" s="16"/>
      <c r="P31" s="16"/>
      <c r="Q31" s="85"/>
      <c r="R31" s="85"/>
      <c r="S31" s="85"/>
      <c r="T31" s="85"/>
      <c r="U31" s="85"/>
      <c r="V31" s="85"/>
      <c r="W31" s="85"/>
    </row>
    <row r="32" spans="1:23" ht="15">
      <c r="A32" s="16"/>
      <c r="B32" s="16"/>
      <c r="C32" s="16"/>
      <c r="D32" s="16"/>
      <c r="E32" s="16"/>
      <c r="F32" s="16"/>
      <c r="G32" s="16"/>
      <c r="H32" s="16"/>
      <c r="I32" s="16"/>
      <c r="J32" s="16"/>
      <c r="K32" s="16"/>
      <c r="L32" s="16"/>
      <c r="M32" s="16"/>
      <c r="N32" s="16"/>
      <c r="O32" s="16"/>
      <c r="P32" s="16"/>
      <c r="Q32" s="85"/>
      <c r="R32" s="85"/>
      <c r="S32" s="85"/>
      <c r="T32" s="85"/>
      <c r="U32" s="85"/>
      <c r="V32" s="85"/>
      <c r="W32" s="85"/>
    </row>
    <row r="33" spans="1:23" ht="15">
      <c r="A33" s="16"/>
      <c r="B33" s="16"/>
      <c r="C33" s="16"/>
      <c r="D33" s="16"/>
      <c r="E33" s="16"/>
      <c r="F33" s="16"/>
      <c r="G33" s="16"/>
      <c r="H33" s="16"/>
      <c r="I33" s="16"/>
      <c r="J33" s="16"/>
      <c r="K33" s="16"/>
      <c r="L33" s="16"/>
      <c r="M33" s="16"/>
      <c r="N33" s="16"/>
      <c r="O33" s="16"/>
      <c r="P33" s="16"/>
      <c r="Q33" s="85"/>
      <c r="R33" s="85"/>
      <c r="S33" s="85"/>
      <c r="T33" s="85"/>
      <c r="U33" s="85"/>
      <c r="V33" s="85"/>
      <c r="W33" s="85"/>
    </row>
    <row r="34" spans="1:23" ht="15">
      <c r="A34" s="16"/>
      <c r="B34" s="16"/>
      <c r="C34" s="16"/>
      <c r="D34" s="16"/>
      <c r="E34" s="16"/>
      <c r="F34" s="16"/>
      <c r="G34" s="16"/>
      <c r="H34" s="16"/>
      <c r="I34" s="16"/>
      <c r="J34" s="16"/>
      <c r="K34" s="16"/>
      <c r="L34" s="16"/>
      <c r="M34" s="16"/>
      <c r="N34" s="16"/>
      <c r="O34" s="16"/>
      <c r="P34" s="16"/>
      <c r="Q34" s="85"/>
      <c r="R34" s="85"/>
      <c r="S34" s="85"/>
      <c r="T34" s="85"/>
      <c r="U34" s="85"/>
      <c r="V34" s="85"/>
      <c r="W34" s="85"/>
    </row>
    <row r="35" spans="1:23" ht="15">
      <c r="A35" s="16"/>
      <c r="B35" s="16"/>
      <c r="C35" s="16"/>
      <c r="D35" s="16"/>
      <c r="E35" s="16"/>
      <c r="F35" s="16"/>
      <c r="G35" s="16"/>
      <c r="H35" s="16"/>
      <c r="I35" s="16"/>
      <c r="J35" s="16"/>
      <c r="K35" s="16"/>
      <c r="L35" s="16"/>
      <c r="M35" s="16"/>
      <c r="N35" s="16"/>
      <c r="O35" s="16"/>
      <c r="P35" s="16"/>
      <c r="Q35" s="85"/>
      <c r="R35" s="85"/>
      <c r="S35" s="85"/>
      <c r="T35" s="85"/>
      <c r="U35" s="85"/>
      <c r="V35" s="85"/>
      <c r="W35" s="85"/>
    </row>
    <row r="36" spans="1:23" ht="15">
      <c r="A36" s="16"/>
      <c r="B36" s="16"/>
      <c r="C36" s="16"/>
      <c r="D36" s="16"/>
      <c r="E36" s="16"/>
      <c r="F36" s="16"/>
      <c r="G36" s="16"/>
      <c r="H36" s="16"/>
      <c r="I36" s="16"/>
      <c r="J36" s="16"/>
      <c r="K36" s="16"/>
      <c r="L36" s="16"/>
      <c r="M36" s="16"/>
      <c r="N36" s="16"/>
      <c r="O36" s="16"/>
      <c r="P36" s="16"/>
      <c r="Q36" s="85"/>
      <c r="R36" s="85"/>
      <c r="S36" s="85"/>
      <c r="T36" s="85"/>
      <c r="U36" s="85"/>
      <c r="V36" s="85"/>
      <c r="W36" s="85"/>
    </row>
    <row r="37" spans="1:23" ht="15">
      <c r="A37" s="16"/>
      <c r="B37" s="16"/>
      <c r="C37" s="16"/>
      <c r="D37" s="16"/>
      <c r="E37" s="16"/>
      <c r="F37" s="16"/>
      <c r="G37" s="16"/>
      <c r="H37" s="16"/>
      <c r="I37" s="16"/>
      <c r="J37" s="16"/>
      <c r="K37" s="16"/>
      <c r="L37" s="16"/>
      <c r="M37" s="16"/>
      <c r="N37" s="16"/>
      <c r="O37" s="16"/>
      <c r="P37" s="16"/>
      <c r="Q37" s="85"/>
      <c r="R37" s="85"/>
      <c r="S37" s="85"/>
      <c r="T37" s="85"/>
      <c r="U37" s="85"/>
      <c r="V37" s="85"/>
      <c r="W37" s="85"/>
    </row>
    <row r="38" spans="1:23" ht="15">
      <c r="A38" s="16"/>
      <c r="B38" s="16"/>
      <c r="C38" s="16"/>
      <c r="D38" s="16"/>
      <c r="E38" s="16"/>
      <c r="F38" s="16"/>
      <c r="G38" s="16"/>
      <c r="H38" s="16"/>
      <c r="I38" s="16"/>
      <c r="J38" s="16"/>
      <c r="K38" s="16"/>
      <c r="L38" s="16"/>
      <c r="M38" s="16"/>
      <c r="N38" s="16"/>
      <c r="O38" s="16"/>
      <c r="P38" s="16"/>
      <c r="Q38" s="85"/>
      <c r="R38" s="85"/>
      <c r="S38" s="85"/>
      <c r="T38" s="85"/>
      <c r="U38" s="85"/>
      <c r="V38" s="85"/>
      <c r="W38" s="85"/>
    </row>
    <row r="39" spans="1:23" ht="15">
      <c r="A39" s="16"/>
      <c r="B39" s="16"/>
      <c r="C39" s="16"/>
      <c r="D39" s="16"/>
      <c r="E39" s="16"/>
      <c r="F39" s="16"/>
      <c r="G39" s="16"/>
      <c r="H39" s="16"/>
      <c r="I39" s="16"/>
      <c r="J39" s="16"/>
      <c r="K39" s="16"/>
      <c r="L39" s="16"/>
      <c r="M39" s="16"/>
      <c r="N39" s="16"/>
      <c r="O39" s="16"/>
      <c r="P39" s="16"/>
      <c r="Q39" s="85"/>
      <c r="R39" s="85"/>
      <c r="S39" s="85"/>
      <c r="T39" s="85"/>
      <c r="U39" s="85"/>
      <c r="V39" s="85"/>
      <c r="W39" s="85"/>
    </row>
    <row r="40" spans="1:23" ht="15">
      <c r="A40" s="16"/>
      <c r="B40" s="16"/>
      <c r="C40" s="16"/>
      <c r="D40" s="16"/>
      <c r="E40" s="16"/>
      <c r="F40" s="16"/>
      <c r="G40" s="16"/>
      <c r="H40" s="16"/>
      <c r="I40" s="16"/>
      <c r="J40" s="16"/>
      <c r="K40" s="16"/>
      <c r="L40" s="16"/>
      <c r="M40" s="16"/>
      <c r="N40" s="16"/>
      <c r="O40" s="16"/>
      <c r="P40" s="16"/>
      <c r="Q40" s="85"/>
      <c r="R40" s="85"/>
      <c r="S40" s="85"/>
      <c r="T40" s="85"/>
      <c r="U40" s="85"/>
      <c r="V40" s="85"/>
      <c r="W40" s="85"/>
    </row>
    <row r="41" spans="1:23" ht="15">
      <c r="A41" s="16"/>
      <c r="B41" s="16"/>
      <c r="C41" s="16"/>
      <c r="D41" s="16"/>
      <c r="E41" s="16"/>
      <c r="F41" s="16"/>
      <c r="G41" s="16"/>
      <c r="H41" s="16"/>
      <c r="I41" s="16"/>
      <c r="J41" s="16"/>
      <c r="K41" s="16"/>
      <c r="L41" s="16"/>
      <c r="M41" s="16"/>
      <c r="N41" s="16"/>
      <c r="O41" s="16"/>
      <c r="P41" s="16"/>
      <c r="Q41" s="85"/>
      <c r="R41" s="85"/>
      <c r="S41" s="85"/>
      <c r="T41" s="85"/>
      <c r="U41" s="85"/>
      <c r="V41" s="85"/>
      <c r="W41" s="85"/>
    </row>
    <row r="42" spans="1:23" ht="15">
      <c r="A42" s="16"/>
      <c r="B42" s="16"/>
      <c r="C42" s="16"/>
      <c r="D42" s="16"/>
      <c r="E42" s="16"/>
      <c r="F42" s="16"/>
      <c r="G42" s="16"/>
      <c r="H42" s="16"/>
      <c r="I42" s="16"/>
      <c r="J42" s="16"/>
      <c r="K42" s="16"/>
      <c r="L42" s="16"/>
      <c r="M42" s="16"/>
      <c r="N42" s="16"/>
      <c r="O42" s="16"/>
      <c r="P42" s="16"/>
      <c r="Q42" s="85"/>
      <c r="R42" s="85"/>
      <c r="S42" s="85"/>
      <c r="T42" s="85"/>
      <c r="U42" s="85"/>
      <c r="V42" s="85"/>
      <c r="W42" s="85"/>
    </row>
    <row r="43" spans="1:23" ht="15">
      <c r="A43" s="16"/>
      <c r="B43" s="16"/>
      <c r="C43" s="16"/>
      <c r="D43" s="16"/>
      <c r="E43" s="16"/>
      <c r="F43" s="16"/>
      <c r="G43" s="16"/>
      <c r="H43" s="16"/>
      <c r="I43" s="16"/>
      <c r="J43" s="16"/>
      <c r="K43" s="16"/>
      <c r="L43" s="16"/>
      <c r="M43" s="16"/>
      <c r="N43" s="16"/>
      <c r="O43" s="16"/>
      <c r="P43" s="16"/>
      <c r="Q43" s="85"/>
      <c r="R43" s="85"/>
      <c r="S43" s="85"/>
      <c r="T43" s="85"/>
      <c r="U43" s="85"/>
      <c r="V43" s="85"/>
      <c r="W43" s="85"/>
    </row>
    <row r="44" spans="1:23" ht="15">
      <c r="A44" s="16"/>
      <c r="B44" s="16"/>
      <c r="C44" s="16"/>
      <c r="D44" s="16"/>
      <c r="E44" s="16"/>
      <c r="F44" s="16"/>
      <c r="G44" s="16"/>
      <c r="H44" s="16"/>
      <c r="I44" s="16"/>
      <c r="J44" s="16"/>
      <c r="K44" s="16"/>
      <c r="L44" s="16"/>
      <c r="M44" s="16"/>
      <c r="N44" s="16"/>
      <c r="O44" s="16"/>
      <c r="P44" s="16"/>
      <c r="Q44" s="85"/>
      <c r="R44" s="85"/>
      <c r="S44" s="85"/>
      <c r="T44" s="85"/>
      <c r="U44" s="85"/>
      <c r="V44" s="85"/>
      <c r="W44" s="85"/>
    </row>
    <row r="45" spans="1:23" ht="15">
      <c r="A45" s="16"/>
      <c r="B45" s="16"/>
      <c r="C45" s="16"/>
      <c r="D45" s="16"/>
      <c r="E45" s="16"/>
      <c r="F45" s="16"/>
      <c r="G45" s="16"/>
      <c r="H45" s="16"/>
      <c r="I45" s="16"/>
      <c r="J45" s="16"/>
      <c r="K45" s="16"/>
      <c r="L45" s="16"/>
      <c r="M45" s="16"/>
      <c r="N45" s="16"/>
      <c r="O45" s="16"/>
      <c r="P45" s="16"/>
      <c r="Q45" s="85"/>
      <c r="R45" s="85"/>
      <c r="S45" s="85"/>
      <c r="T45" s="85"/>
      <c r="U45" s="85"/>
      <c r="V45" s="85"/>
      <c r="W45" s="85"/>
    </row>
    <row r="46" spans="1:23" ht="15">
      <c r="A46" s="16"/>
      <c r="B46" s="16"/>
      <c r="C46" s="16"/>
      <c r="D46" s="16"/>
      <c r="E46" s="16"/>
      <c r="F46" s="16"/>
      <c r="G46" s="16"/>
      <c r="H46" s="16"/>
      <c r="I46" s="16"/>
      <c r="J46" s="16"/>
      <c r="K46" s="16"/>
      <c r="L46" s="16"/>
      <c r="M46" s="16"/>
      <c r="N46" s="16"/>
      <c r="O46" s="16"/>
      <c r="P46" s="16"/>
      <c r="Q46" s="85"/>
      <c r="R46" s="85"/>
      <c r="S46" s="85"/>
      <c r="T46" s="85"/>
      <c r="U46" s="85"/>
      <c r="V46" s="85"/>
      <c r="W46" s="85"/>
    </row>
    <row r="47" spans="1:23" ht="15">
      <c r="A47" s="16"/>
      <c r="B47" s="16"/>
      <c r="C47" s="16"/>
      <c r="D47" s="16"/>
      <c r="E47" s="16"/>
      <c r="F47" s="16"/>
      <c r="G47" s="16"/>
      <c r="H47" s="16"/>
      <c r="I47" s="16"/>
      <c r="J47" s="16"/>
      <c r="K47" s="16"/>
      <c r="L47" s="16"/>
      <c r="M47" s="16"/>
      <c r="N47" s="16"/>
      <c r="O47" s="16"/>
      <c r="P47" s="16"/>
      <c r="Q47" s="85"/>
      <c r="R47" s="85"/>
      <c r="S47" s="85"/>
      <c r="T47" s="85"/>
      <c r="U47" s="85"/>
      <c r="V47" s="85"/>
      <c r="W47" s="85"/>
    </row>
    <row r="48" spans="1:23" ht="15">
      <c r="A48" s="16"/>
      <c r="B48" s="16"/>
      <c r="C48" s="16"/>
      <c r="D48" s="16"/>
      <c r="E48" s="16"/>
      <c r="F48" s="16"/>
      <c r="G48" s="16"/>
      <c r="H48" s="16"/>
      <c r="I48" s="16"/>
      <c r="J48" s="16"/>
      <c r="K48" s="16"/>
      <c r="L48" s="16"/>
      <c r="M48" s="16"/>
      <c r="N48" s="16"/>
      <c r="O48" s="16"/>
      <c r="P48" s="16"/>
      <c r="Q48" s="85"/>
      <c r="R48" s="85"/>
      <c r="S48" s="85"/>
      <c r="T48" s="85"/>
      <c r="U48" s="85"/>
      <c r="V48" s="85"/>
      <c r="W48" s="85"/>
    </row>
    <row r="49" spans="1:23" ht="15">
      <c r="A49" s="16"/>
      <c r="B49" s="16"/>
      <c r="C49" s="16"/>
      <c r="D49" s="16"/>
      <c r="E49" s="16"/>
      <c r="F49" s="16"/>
      <c r="G49" s="16"/>
      <c r="H49" s="16"/>
      <c r="I49" s="16"/>
      <c r="J49" s="16"/>
      <c r="K49" s="16"/>
      <c r="L49" s="16"/>
      <c r="M49" s="16"/>
      <c r="N49" s="16"/>
      <c r="O49" s="16"/>
      <c r="P49" s="16"/>
      <c r="Q49" s="85"/>
      <c r="R49" s="85"/>
      <c r="S49" s="85"/>
      <c r="T49" s="85"/>
      <c r="U49" s="85"/>
      <c r="V49" s="85"/>
      <c r="W49" s="85"/>
    </row>
    <row r="50" spans="1:23" ht="15">
      <c r="A50" s="16"/>
      <c r="B50" s="16"/>
      <c r="C50" s="16"/>
      <c r="D50" s="16"/>
      <c r="E50" s="16"/>
      <c r="F50" s="16"/>
      <c r="G50" s="16"/>
      <c r="H50" s="16"/>
      <c r="I50" s="16"/>
      <c r="J50" s="16"/>
      <c r="K50" s="16"/>
      <c r="L50" s="16"/>
      <c r="M50" s="16"/>
      <c r="N50" s="16"/>
      <c r="O50" s="16"/>
      <c r="P50" s="16"/>
      <c r="Q50" s="85"/>
      <c r="R50" s="85"/>
      <c r="S50" s="85"/>
      <c r="T50" s="85"/>
      <c r="U50" s="85"/>
      <c r="V50" s="85"/>
      <c r="W50" s="85"/>
    </row>
    <row r="51" spans="1:23" ht="15">
      <c r="A51" s="16"/>
      <c r="B51" s="16"/>
      <c r="C51" s="16"/>
      <c r="D51" s="16"/>
      <c r="E51" s="16"/>
      <c r="F51" s="16"/>
      <c r="G51" s="16"/>
      <c r="H51" s="16"/>
      <c r="I51" s="16"/>
      <c r="J51" s="16"/>
      <c r="K51" s="16"/>
      <c r="L51" s="16"/>
      <c r="M51" s="16"/>
      <c r="N51" s="16"/>
      <c r="O51" s="16"/>
      <c r="P51" s="16"/>
      <c r="Q51" s="85"/>
      <c r="R51" s="85"/>
      <c r="S51" s="85"/>
      <c r="T51" s="85"/>
      <c r="U51" s="85"/>
      <c r="V51" s="85"/>
      <c r="W51" s="85"/>
    </row>
    <row r="52" spans="1:23" ht="15">
      <c r="A52" s="16"/>
      <c r="B52" s="16"/>
      <c r="C52" s="16"/>
      <c r="D52" s="16"/>
      <c r="E52" s="16"/>
      <c r="F52" s="16"/>
      <c r="G52" s="16"/>
      <c r="H52" s="16"/>
      <c r="I52" s="16"/>
      <c r="J52" s="16"/>
      <c r="K52" s="16"/>
      <c r="L52" s="16"/>
      <c r="M52" s="16"/>
      <c r="N52" s="16"/>
      <c r="O52" s="16"/>
      <c r="P52" s="16"/>
      <c r="Q52" s="85"/>
      <c r="R52" s="85"/>
      <c r="S52" s="85"/>
      <c r="T52" s="85"/>
      <c r="U52" s="85"/>
      <c r="V52" s="85"/>
      <c r="W52" s="85"/>
    </row>
    <row r="53" spans="1:23" ht="15">
      <c r="A53" s="85"/>
      <c r="B53" s="85"/>
      <c r="C53" s="85"/>
      <c r="D53" s="85"/>
      <c r="E53" s="85"/>
      <c r="F53" s="85"/>
      <c r="G53" s="85"/>
      <c r="H53" s="85"/>
      <c r="I53" s="16"/>
      <c r="J53" s="16"/>
      <c r="K53" s="16"/>
      <c r="L53" s="16"/>
      <c r="M53" s="16"/>
      <c r="N53" s="16"/>
      <c r="O53" s="16"/>
      <c r="P53" s="16"/>
      <c r="Q53" s="85"/>
      <c r="R53" s="85"/>
      <c r="S53" s="85"/>
      <c r="T53" s="85"/>
      <c r="U53" s="85"/>
      <c r="V53" s="85"/>
      <c r="W53" s="85"/>
    </row>
    <row r="54" spans="1:23" ht="15">
      <c r="A54" s="85"/>
      <c r="B54" s="85"/>
      <c r="C54" s="85"/>
      <c r="D54" s="85"/>
      <c r="E54" s="85"/>
      <c r="F54" s="85"/>
      <c r="G54" s="85"/>
      <c r="H54" s="85"/>
      <c r="I54" s="16"/>
      <c r="J54" s="16"/>
      <c r="K54" s="16"/>
      <c r="L54" s="16"/>
      <c r="M54" s="16"/>
      <c r="N54" s="16"/>
      <c r="O54" s="16"/>
      <c r="P54" s="16"/>
      <c r="Q54" s="85"/>
      <c r="R54" s="85"/>
      <c r="S54" s="85"/>
      <c r="T54" s="85"/>
      <c r="U54" s="85"/>
      <c r="V54" s="85"/>
      <c r="W54" s="85"/>
    </row>
    <row r="55" spans="1:23" ht="15">
      <c r="A55" s="85"/>
      <c r="B55" s="85"/>
      <c r="C55" s="85"/>
      <c r="D55" s="85"/>
      <c r="E55" s="85"/>
      <c r="F55" s="85"/>
      <c r="G55" s="85"/>
      <c r="H55" s="85"/>
      <c r="I55" s="16"/>
      <c r="J55" s="16"/>
      <c r="K55" s="16"/>
      <c r="L55" s="16"/>
      <c r="M55" s="16"/>
      <c r="N55" s="16"/>
      <c r="O55" s="16"/>
      <c r="P55" s="16"/>
      <c r="Q55" s="85"/>
      <c r="R55" s="85"/>
      <c r="S55" s="85"/>
      <c r="T55" s="85"/>
      <c r="U55" s="85"/>
      <c r="V55" s="85"/>
      <c r="W55" s="85"/>
    </row>
    <row r="56" spans="1:23" ht="15">
      <c r="A56" s="85"/>
      <c r="B56" s="85"/>
      <c r="C56" s="85"/>
      <c r="D56" s="85"/>
      <c r="E56" s="85"/>
      <c r="F56" s="85"/>
      <c r="G56" s="85"/>
      <c r="H56" s="85"/>
      <c r="I56" s="16"/>
      <c r="J56" s="16"/>
      <c r="K56" s="16"/>
      <c r="L56" s="16"/>
      <c r="M56" s="16"/>
      <c r="N56" s="16"/>
      <c r="O56" s="16"/>
      <c r="P56" s="16"/>
      <c r="Q56" s="85"/>
      <c r="R56" s="85"/>
      <c r="S56" s="85"/>
      <c r="T56" s="85"/>
      <c r="U56" s="85"/>
      <c r="V56" s="85"/>
      <c r="W56" s="85"/>
    </row>
    <row r="57" spans="1:23" ht="15">
      <c r="A57" s="85"/>
      <c r="B57" s="85"/>
      <c r="C57" s="85"/>
      <c r="D57" s="85"/>
      <c r="E57" s="85"/>
      <c r="F57" s="85"/>
      <c r="G57" s="85"/>
      <c r="H57" s="85"/>
      <c r="I57" s="16"/>
      <c r="J57" s="16"/>
      <c r="K57" s="16"/>
      <c r="L57" s="16"/>
      <c r="M57" s="16"/>
      <c r="N57" s="16"/>
      <c r="O57" s="16"/>
      <c r="P57" s="16"/>
      <c r="Q57" s="85"/>
      <c r="R57" s="85"/>
      <c r="S57" s="85"/>
      <c r="T57" s="85"/>
      <c r="U57" s="85"/>
      <c r="V57" s="85"/>
      <c r="W57" s="85"/>
    </row>
    <row r="58" spans="1:23" ht="15">
      <c r="A58" s="85"/>
      <c r="B58" s="85"/>
      <c r="C58" s="85"/>
      <c r="D58" s="85"/>
      <c r="E58" s="85"/>
      <c r="F58" s="85"/>
      <c r="G58" s="85"/>
      <c r="H58" s="85"/>
      <c r="I58" s="16"/>
      <c r="J58" s="16"/>
      <c r="K58" s="16"/>
      <c r="L58" s="16"/>
      <c r="M58" s="16"/>
      <c r="N58" s="16"/>
      <c r="O58" s="16"/>
      <c r="P58" s="16"/>
      <c r="Q58" s="85"/>
      <c r="R58" s="85"/>
      <c r="S58" s="85"/>
      <c r="T58" s="85"/>
      <c r="U58" s="85"/>
      <c r="V58" s="85"/>
      <c r="W58" s="85"/>
    </row>
    <row r="59" spans="1:23" ht="15">
      <c r="A59" s="85"/>
      <c r="B59" s="85"/>
      <c r="C59" s="85"/>
      <c r="D59" s="85"/>
      <c r="E59" s="85"/>
      <c r="F59" s="85"/>
      <c r="G59" s="85"/>
      <c r="H59" s="85"/>
      <c r="I59" s="16"/>
      <c r="J59" s="16"/>
      <c r="K59" s="16"/>
      <c r="L59" s="16"/>
      <c r="M59" s="16"/>
      <c r="N59" s="16"/>
      <c r="O59" s="16"/>
      <c r="P59" s="16"/>
      <c r="Q59" s="85"/>
      <c r="R59" s="85"/>
      <c r="S59" s="85"/>
      <c r="T59" s="85"/>
      <c r="U59" s="85"/>
      <c r="V59" s="85"/>
      <c r="W59" s="85"/>
    </row>
    <row r="60" spans="1:23" ht="15">
      <c r="A60" s="85"/>
      <c r="B60" s="85"/>
      <c r="C60" s="85"/>
      <c r="D60" s="85"/>
      <c r="E60" s="85"/>
      <c r="F60" s="85"/>
      <c r="G60" s="85"/>
      <c r="H60" s="85"/>
      <c r="I60" s="16"/>
      <c r="J60" s="16"/>
      <c r="K60" s="16"/>
      <c r="L60" s="16"/>
      <c r="M60" s="16"/>
      <c r="N60" s="16"/>
      <c r="O60" s="16"/>
      <c r="P60" s="16"/>
      <c r="Q60" s="85"/>
      <c r="R60" s="85"/>
      <c r="S60" s="85"/>
      <c r="T60" s="85"/>
      <c r="U60" s="85"/>
      <c r="V60" s="85"/>
      <c r="W60" s="85"/>
    </row>
    <row r="61" spans="1:23" ht="15">
      <c r="A61" s="85"/>
      <c r="B61" s="85"/>
      <c r="C61" s="85"/>
      <c r="D61" s="85"/>
      <c r="E61" s="85"/>
      <c r="F61" s="85"/>
      <c r="G61" s="85"/>
      <c r="H61" s="85"/>
      <c r="I61" s="16"/>
      <c r="J61" s="16"/>
      <c r="K61" s="16"/>
      <c r="L61" s="16"/>
      <c r="M61" s="16"/>
      <c r="N61" s="16"/>
      <c r="O61" s="16"/>
      <c r="P61" s="16"/>
      <c r="Q61" s="85"/>
      <c r="R61" s="85"/>
      <c r="S61" s="85"/>
      <c r="T61" s="85"/>
      <c r="U61" s="85"/>
      <c r="V61" s="85"/>
      <c r="W61" s="85"/>
    </row>
    <row r="62" spans="1:23" ht="15">
      <c r="A62" s="16"/>
      <c r="B62" s="16"/>
      <c r="C62" s="16"/>
      <c r="D62" s="16"/>
      <c r="E62" s="16"/>
      <c r="F62" s="16"/>
      <c r="G62" s="16"/>
      <c r="H62" s="16"/>
      <c r="I62" s="16"/>
      <c r="J62" s="16"/>
      <c r="K62" s="16"/>
      <c r="L62" s="16"/>
      <c r="M62" s="16"/>
      <c r="N62" s="16"/>
      <c r="O62" s="16"/>
      <c r="P62" s="16"/>
      <c r="Q62" s="85"/>
      <c r="R62" s="85"/>
      <c r="S62" s="85"/>
      <c r="T62" s="85"/>
      <c r="U62" s="85"/>
      <c r="V62" s="85"/>
      <c r="W62" s="85"/>
    </row>
    <row r="63" spans="1:23" ht="15">
      <c r="A63" s="16"/>
      <c r="B63" s="16"/>
      <c r="C63" s="16"/>
      <c r="D63" s="16"/>
      <c r="E63" s="16"/>
      <c r="F63" s="16"/>
      <c r="G63" s="16"/>
      <c r="H63" s="16"/>
      <c r="I63" s="16"/>
      <c r="J63" s="16"/>
      <c r="K63" s="16"/>
      <c r="L63" s="16"/>
      <c r="M63" s="16"/>
      <c r="N63" s="16"/>
      <c r="O63" s="16"/>
      <c r="P63" s="16"/>
      <c r="Q63" s="85"/>
      <c r="R63" s="85"/>
      <c r="S63" s="85"/>
      <c r="T63" s="85"/>
      <c r="U63" s="85"/>
      <c r="V63" s="85"/>
      <c r="W63" s="85"/>
    </row>
    <row r="64" spans="1:23" ht="15">
      <c r="A64" s="16"/>
      <c r="B64" s="16"/>
      <c r="C64" s="16"/>
      <c r="D64" s="16"/>
      <c r="E64" s="16"/>
      <c r="F64" s="16"/>
      <c r="G64" s="16"/>
      <c r="H64" s="16"/>
      <c r="I64" s="16"/>
      <c r="J64" s="16"/>
      <c r="K64" s="16"/>
      <c r="L64" s="16"/>
      <c r="M64" s="16"/>
      <c r="N64" s="16"/>
      <c r="O64" s="16"/>
      <c r="P64" s="16"/>
      <c r="Q64" s="85"/>
      <c r="R64" s="85"/>
      <c r="S64" s="85"/>
      <c r="T64" s="85"/>
      <c r="U64" s="85"/>
      <c r="V64" s="85"/>
      <c r="W64" s="85"/>
    </row>
    <row r="65" spans="1:23" ht="15">
      <c r="A65" s="16"/>
      <c r="B65" s="16"/>
      <c r="C65" s="16"/>
      <c r="D65" s="16"/>
      <c r="E65" s="16"/>
      <c r="F65" s="16"/>
      <c r="G65" s="16"/>
      <c r="H65" s="16"/>
      <c r="I65" s="16"/>
      <c r="J65" s="16"/>
      <c r="K65" s="16"/>
      <c r="L65" s="16"/>
      <c r="M65" s="16"/>
      <c r="N65" s="16"/>
      <c r="O65" s="16"/>
      <c r="P65" s="16"/>
      <c r="Q65" s="85"/>
      <c r="R65" s="85"/>
      <c r="S65" s="85"/>
      <c r="T65" s="85"/>
      <c r="U65" s="85"/>
      <c r="V65" s="85"/>
      <c r="W65" s="85"/>
    </row>
    <row r="66" spans="1:23" ht="15">
      <c r="A66" s="16"/>
      <c r="B66" s="16"/>
      <c r="C66" s="16"/>
      <c r="D66" s="16"/>
      <c r="E66" s="16"/>
      <c r="F66" s="16"/>
      <c r="G66" s="16"/>
      <c r="H66" s="16"/>
      <c r="I66" s="16"/>
      <c r="J66" s="16"/>
      <c r="K66" s="16"/>
      <c r="L66" s="16"/>
      <c r="M66" s="16"/>
      <c r="N66" s="16"/>
      <c r="O66" s="16"/>
      <c r="P66" s="16"/>
      <c r="Q66" s="85"/>
      <c r="R66" s="85"/>
      <c r="S66" s="85"/>
      <c r="T66" s="85"/>
      <c r="U66" s="85"/>
      <c r="V66" s="85"/>
      <c r="W66" s="85"/>
    </row>
    <row r="67" spans="1:23" ht="15">
      <c r="A67" s="16"/>
      <c r="B67" s="16"/>
      <c r="C67" s="16"/>
      <c r="D67" s="16"/>
      <c r="E67" s="16"/>
      <c r="F67" s="16"/>
      <c r="G67" s="16"/>
      <c r="H67" s="16"/>
      <c r="I67" s="16"/>
      <c r="J67" s="16"/>
      <c r="K67" s="16"/>
      <c r="L67" s="16"/>
      <c r="M67" s="16"/>
      <c r="N67" s="16"/>
      <c r="O67" s="16"/>
      <c r="P67" s="16"/>
      <c r="Q67" s="85"/>
      <c r="R67" s="85"/>
      <c r="S67" s="85"/>
      <c r="T67" s="85"/>
      <c r="U67" s="85"/>
      <c r="V67" s="85"/>
      <c r="W67" s="85"/>
    </row>
    <row r="68" spans="1:23" ht="15">
      <c r="A68" s="16"/>
      <c r="B68" s="16"/>
      <c r="C68" s="16"/>
      <c r="D68" s="16"/>
      <c r="E68" s="16"/>
      <c r="F68" s="16"/>
      <c r="G68" s="16"/>
      <c r="H68" s="16"/>
      <c r="I68" s="16"/>
      <c r="J68" s="16"/>
      <c r="K68" s="16"/>
      <c r="L68" s="16"/>
      <c r="M68" s="16"/>
      <c r="N68" s="16"/>
      <c r="O68" s="16"/>
      <c r="P68" s="16"/>
      <c r="Q68" s="85"/>
      <c r="R68" s="85"/>
      <c r="S68" s="85"/>
      <c r="T68" s="85"/>
      <c r="U68" s="85"/>
      <c r="V68" s="85"/>
      <c r="W68" s="85"/>
    </row>
    <row r="69" spans="1:23" ht="15">
      <c r="A69" s="16"/>
      <c r="B69" s="16"/>
      <c r="C69" s="16"/>
      <c r="D69" s="16"/>
      <c r="E69" s="16"/>
      <c r="F69" s="16"/>
      <c r="G69" s="16"/>
      <c r="H69" s="16"/>
      <c r="I69" s="16"/>
      <c r="J69" s="16"/>
      <c r="K69" s="16"/>
      <c r="L69" s="16"/>
      <c r="M69" s="16"/>
      <c r="N69" s="16"/>
      <c r="O69" s="16"/>
      <c r="P69" s="16"/>
      <c r="Q69" s="85"/>
      <c r="R69" s="85"/>
      <c r="S69" s="85"/>
      <c r="T69" s="85"/>
      <c r="U69" s="85"/>
      <c r="V69" s="85"/>
      <c r="W69" s="85"/>
    </row>
    <row r="70" spans="1:23" ht="15">
      <c r="A70" s="16"/>
      <c r="B70" s="16"/>
      <c r="C70" s="16"/>
      <c r="D70" s="16"/>
      <c r="E70" s="16"/>
      <c r="F70" s="16"/>
      <c r="G70" s="16"/>
      <c r="H70" s="16"/>
      <c r="I70" s="16"/>
      <c r="J70" s="16"/>
      <c r="K70" s="16"/>
      <c r="L70" s="16"/>
      <c r="M70" s="16"/>
      <c r="N70" s="16"/>
      <c r="O70" s="16"/>
      <c r="P70" s="16"/>
      <c r="Q70" s="85"/>
      <c r="R70" s="85"/>
      <c r="S70" s="85"/>
      <c r="T70" s="85"/>
      <c r="U70" s="85"/>
      <c r="V70" s="85"/>
      <c r="W70" s="85"/>
    </row>
    <row r="71" spans="1:23" ht="15">
      <c r="A71" s="16"/>
      <c r="B71" s="16"/>
      <c r="C71" s="16"/>
      <c r="D71" s="16"/>
      <c r="E71" s="16"/>
      <c r="F71" s="16"/>
      <c r="G71" s="16"/>
      <c r="H71" s="16"/>
      <c r="I71" s="16"/>
      <c r="J71" s="16"/>
      <c r="K71" s="16"/>
      <c r="L71" s="16"/>
      <c r="M71" s="16"/>
      <c r="N71" s="16"/>
      <c r="O71" s="16"/>
      <c r="P71" s="16"/>
      <c r="Q71" s="85"/>
      <c r="R71" s="85"/>
      <c r="S71" s="85"/>
      <c r="T71" s="85"/>
      <c r="U71" s="85"/>
      <c r="V71" s="85"/>
      <c r="W71" s="85"/>
    </row>
    <row r="72" spans="1:23" ht="15">
      <c r="A72" s="16"/>
      <c r="B72" s="16"/>
      <c r="C72" s="16"/>
      <c r="D72" s="16"/>
      <c r="E72" s="16"/>
      <c r="F72" s="16"/>
      <c r="G72" s="16"/>
      <c r="H72" s="16"/>
      <c r="I72" s="16"/>
      <c r="J72" s="16"/>
      <c r="K72" s="16"/>
      <c r="L72" s="16"/>
      <c r="M72" s="16"/>
      <c r="N72" s="16"/>
      <c r="O72" s="16"/>
      <c r="P72" s="16"/>
      <c r="Q72" s="85"/>
      <c r="R72" s="85"/>
      <c r="S72" s="85"/>
      <c r="T72" s="85"/>
      <c r="U72" s="85"/>
      <c r="V72" s="85"/>
      <c r="W72" s="85"/>
    </row>
    <row r="73" spans="1:23" ht="15">
      <c r="A73" s="16"/>
      <c r="B73" s="16"/>
      <c r="C73" s="16"/>
      <c r="D73" s="16"/>
      <c r="E73" s="16"/>
      <c r="F73" s="16"/>
      <c r="G73" s="16"/>
      <c r="H73" s="16"/>
      <c r="I73" s="16"/>
      <c r="J73" s="16"/>
      <c r="K73" s="16"/>
      <c r="L73" s="16"/>
      <c r="M73" s="16"/>
      <c r="N73" s="16"/>
      <c r="O73" s="16"/>
      <c r="P73" s="16"/>
      <c r="Q73" s="85"/>
      <c r="R73" s="85"/>
      <c r="S73" s="85"/>
      <c r="T73" s="85"/>
      <c r="U73" s="85"/>
      <c r="V73" s="85"/>
      <c r="W73" s="85"/>
    </row>
    <row r="74" spans="1:17" ht="15">
      <c r="A74" s="16"/>
      <c r="B74" s="16"/>
      <c r="C74" s="16"/>
      <c r="D74" s="16"/>
      <c r="E74" s="16"/>
      <c r="F74" s="16"/>
      <c r="G74" s="16"/>
      <c r="H74" s="16"/>
      <c r="I74" s="16"/>
      <c r="J74" s="16"/>
      <c r="K74" s="16"/>
      <c r="L74" s="16"/>
      <c r="M74" s="16"/>
      <c r="N74" s="16"/>
      <c r="O74" s="16"/>
      <c r="P74" s="16"/>
      <c r="Q74" s="16"/>
    </row>
    <row r="75" spans="1:17" ht="15">
      <c r="A75" s="16"/>
      <c r="B75" s="16"/>
      <c r="C75" s="16"/>
      <c r="D75" s="16"/>
      <c r="E75" s="16"/>
      <c r="F75" s="16"/>
      <c r="G75" s="16"/>
      <c r="H75" s="16"/>
      <c r="I75" s="16"/>
      <c r="J75" s="16"/>
      <c r="K75" s="16"/>
      <c r="L75" s="16"/>
      <c r="M75" s="16"/>
      <c r="N75" s="16"/>
      <c r="O75" s="16"/>
      <c r="P75" s="16"/>
      <c r="Q75" s="16"/>
    </row>
    <row r="76" spans="1:17" ht="15">
      <c r="A76" s="16"/>
      <c r="B76" s="16"/>
      <c r="C76" s="16"/>
      <c r="D76" s="16"/>
      <c r="E76" s="16"/>
      <c r="F76" s="16"/>
      <c r="G76" s="16"/>
      <c r="H76" s="16"/>
      <c r="I76" s="16"/>
      <c r="J76" s="16"/>
      <c r="K76" s="16"/>
      <c r="L76" s="16"/>
      <c r="M76" s="16"/>
      <c r="N76" s="16"/>
      <c r="O76" s="16"/>
      <c r="P76" s="16"/>
      <c r="Q76" s="16"/>
    </row>
    <row r="77" spans="1:17" ht="15">
      <c r="A77" s="16"/>
      <c r="B77" s="16"/>
      <c r="C77" s="16"/>
      <c r="D77" s="16"/>
      <c r="E77" s="16"/>
      <c r="F77" s="16"/>
      <c r="G77" s="16"/>
      <c r="H77" s="16"/>
      <c r="I77" s="16"/>
      <c r="J77" s="16"/>
      <c r="K77" s="16"/>
      <c r="L77" s="16"/>
      <c r="M77" s="16"/>
      <c r="N77" s="16"/>
      <c r="O77" s="16"/>
      <c r="P77" s="16"/>
      <c r="Q77" s="16"/>
    </row>
    <row r="78" spans="1:17" ht="15">
      <c r="A78" s="16"/>
      <c r="B78" s="16"/>
      <c r="C78" s="16"/>
      <c r="D78" s="16"/>
      <c r="E78" s="16"/>
      <c r="F78" s="16"/>
      <c r="G78" s="16"/>
      <c r="H78" s="16"/>
      <c r="I78" s="16"/>
      <c r="J78" s="16"/>
      <c r="K78" s="16"/>
      <c r="L78" s="16"/>
      <c r="M78" s="16"/>
      <c r="N78" s="16"/>
      <c r="O78" s="16"/>
      <c r="P78" s="16"/>
      <c r="Q78" s="16"/>
    </row>
    <row r="79" spans="1:17" ht="15">
      <c r="A79" s="16"/>
      <c r="B79" s="16"/>
      <c r="C79" s="16"/>
      <c r="D79" s="16"/>
      <c r="E79" s="16"/>
      <c r="F79" s="16"/>
      <c r="G79" s="16"/>
      <c r="H79" s="16"/>
      <c r="I79" s="16"/>
      <c r="J79" s="16"/>
      <c r="K79" s="16"/>
      <c r="L79" s="16"/>
      <c r="M79" s="16"/>
      <c r="N79" s="16"/>
      <c r="O79" s="16"/>
      <c r="P79" s="16"/>
      <c r="Q79" s="16"/>
    </row>
    <row r="80" spans="1:17" ht="15">
      <c r="A80" s="16"/>
      <c r="B80" s="16"/>
      <c r="C80" s="16"/>
      <c r="D80" s="16"/>
      <c r="E80" s="16"/>
      <c r="F80" s="16"/>
      <c r="G80" s="16"/>
      <c r="H80" s="16"/>
      <c r="I80" s="16"/>
      <c r="J80" s="16"/>
      <c r="K80" s="16"/>
      <c r="L80" s="16"/>
      <c r="M80" s="16"/>
      <c r="N80" s="16"/>
      <c r="O80" s="16"/>
      <c r="P80" s="16"/>
      <c r="Q80" s="16"/>
    </row>
    <row r="81" spans="1:17" ht="15">
      <c r="A81" s="16"/>
      <c r="B81" s="16"/>
      <c r="C81" s="16"/>
      <c r="D81" s="16"/>
      <c r="E81" s="16"/>
      <c r="F81" s="16"/>
      <c r="G81" s="16"/>
      <c r="H81" s="16"/>
      <c r="I81" s="16"/>
      <c r="J81" s="16"/>
      <c r="K81" s="16"/>
      <c r="L81" s="16"/>
      <c r="M81" s="16"/>
      <c r="N81" s="16"/>
      <c r="O81" s="16"/>
      <c r="P81" s="16"/>
      <c r="Q81" s="16"/>
    </row>
    <row r="82" spans="1:17" ht="15">
      <c r="A82" s="16"/>
      <c r="B82" s="16"/>
      <c r="C82" s="16"/>
      <c r="D82" s="16"/>
      <c r="E82" s="16"/>
      <c r="F82" s="16"/>
      <c r="G82" s="16"/>
      <c r="H82" s="16"/>
      <c r="I82" s="16"/>
      <c r="J82" s="16"/>
      <c r="K82" s="16"/>
      <c r="L82" s="16"/>
      <c r="M82" s="16"/>
      <c r="N82" s="16"/>
      <c r="O82" s="16"/>
      <c r="P82" s="16"/>
      <c r="Q82" s="16"/>
    </row>
    <row r="83" spans="1:17" ht="15">
      <c r="A83" s="16"/>
      <c r="B83" s="16"/>
      <c r="C83" s="16"/>
      <c r="D83" s="16"/>
      <c r="E83" s="16"/>
      <c r="F83" s="16"/>
      <c r="G83" s="16"/>
      <c r="H83" s="16"/>
      <c r="I83" s="16"/>
      <c r="J83" s="16"/>
      <c r="K83" s="16"/>
      <c r="L83" s="16"/>
      <c r="M83" s="16"/>
      <c r="N83" s="16"/>
      <c r="O83" s="16"/>
      <c r="P83" s="16"/>
      <c r="Q83" s="16"/>
    </row>
    <row r="84" spans="1:17" ht="15">
      <c r="A84" s="16"/>
      <c r="B84" s="16"/>
      <c r="C84" s="16"/>
      <c r="D84" s="16"/>
      <c r="E84" s="16"/>
      <c r="F84" s="16"/>
      <c r="G84" s="16"/>
      <c r="H84" s="16"/>
      <c r="I84" s="16"/>
      <c r="J84" s="16"/>
      <c r="K84" s="16"/>
      <c r="L84" s="16"/>
      <c r="M84" s="16"/>
      <c r="N84" s="16"/>
      <c r="O84" s="16"/>
      <c r="P84" s="16"/>
      <c r="Q84" s="16"/>
    </row>
    <row r="85" spans="1:17" ht="15">
      <c r="A85" s="16"/>
      <c r="B85" s="16"/>
      <c r="C85" s="16"/>
      <c r="D85" s="16"/>
      <c r="E85" s="16"/>
      <c r="F85" s="16"/>
      <c r="G85" s="16"/>
      <c r="H85" s="16"/>
      <c r="I85" s="16"/>
      <c r="J85" s="16"/>
      <c r="K85" s="16"/>
      <c r="L85" s="16"/>
      <c r="M85" s="16"/>
      <c r="N85" s="16"/>
      <c r="O85" s="16"/>
      <c r="P85" s="16"/>
      <c r="Q85" s="16"/>
    </row>
    <row r="86" spans="1:17" ht="15">
      <c r="A86" s="16"/>
      <c r="B86" s="16"/>
      <c r="C86" s="16"/>
      <c r="D86" s="16"/>
      <c r="E86" s="16"/>
      <c r="F86" s="16"/>
      <c r="G86" s="16"/>
      <c r="H86" s="16"/>
      <c r="I86" s="16"/>
      <c r="J86" s="16"/>
      <c r="K86" s="16"/>
      <c r="L86" s="16"/>
      <c r="M86" s="16"/>
      <c r="N86" s="16"/>
      <c r="O86" s="16"/>
      <c r="P86" s="16"/>
      <c r="Q86" s="16"/>
    </row>
    <row r="87" spans="1:17" ht="15">
      <c r="A87" s="16"/>
      <c r="B87" s="16"/>
      <c r="C87" s="16"/>
      <c r="D87" s="16"/>
      <c r="E87" s="16"/>
      <c r="F87" s="16"/>
      <c r="G87" s="16"/>
      <c r="H87" s="16"/>
      <c r="I87" s="16"/>
      <c r="J87" s="16"/>
      <c r="K87" s="16"/>
      <c r="L87" s="16"/>
      <c r="M87" s="16"/>
      <c r="N87" s="16"/>
      <c r="O87" s="16"/>
      <c r="P87" s="16"/>
      <c r="Q87" s="16"/>
    </row>
    <row r="88" spans="1:17" ht="15">
      <c r="A88" s="16"/>
      <c r="B88" s="16"/>
      <c r="C88" s="16"/>
      <c r="D88" s="16"/>
      <c r="E88" s="16"/>
      <c r="F88" s="16"/>
      <c r="G88" s="16"/>
      <c r="H88" s="16"/>
      <c r="I88" s="16"/>
      <c r="J88" s="16"/>
      <c r="K88" s="16"/>
      <c r="L88" s="16"/>
      <c r="M88" s="16"/>
      <c r="N88" s="16"/>
      <c r="O88" s="16"/>
      <c r="P88" s="16"/>
      <c r="Q88" s="16"/>
    </row>
    <row r="89" spans="1:17" ht="15">
      <c r="A89" s="16"/>
      <c r="B89" s="16"/>
      <c r="C89" s="16"/>
      <c r="D89" s="16"/>
      <c r="E89" s="16"/>
      <c r="F89" s="16"/>
      <c r="G89" s="16"/>
      <c r="H89" s="16"/>
      <c r="I89" s="16"/>
      <c r="J89" s="16"/>
      <c r="K89" s="16"/>
      <c r="L89" s="16"/>
      <c r="M89" s="16"/>
      <c r="N89" s="16"/>
      <c r="O89" s="16"/>
      <c r="P89" s="16"/>
      <c r="Q89" s="16"/>
    </row>
    <row r="90" spans="1:17" ht="15">
      <c r="A90" s="16"/>
      <c r="B90" s="16"/>
      <c r="C90" s="16"/>
      <c r="D90" s="16"/>
      <c r="E90" s="16"/>
      <c r="F90" s="16"/>
      <c r="G90" s="16"/>
      <c r="H90" s="16"/>
      <c r="I90" s="16"/>
      <c r="J90" s="16"/>
      <c r="K90" s="16"/>
      <c r="L90" s="16"/>
      <c r="M90" s="16"/>
      <c r="N90" s="16"/>
      <c r="O90" s="16"/>
      <c r="P90" s="16"/>
      <c r="Q90" s="16"/>
    </row>
    <row r="91" spans="1:17" ht="15">
      <c r="A91" s="16"/>
      <c r="B91" s="16"/>
      <c r="C91" s="16"/>
      <c r="D91" s="16"/>
      <c r="E91" s="16"/>
      <c r="F91" s="16"/>
      <c r="G91" s="16"/>
      <c r="H91" s="16"/>
      <c r="I91" s="16"/>
      <c r="J91" s="16"/>
      <c r="K91" s="16"/>
      <c r="L91" s="16"/>
      <c r="M91" s="16"/>
      <c r="N91" s="16"/>
      <c r="O91" s="16"/>
      <c r="P91" s="16"/>
      <c r="Q91" s="16"/>
    </row>
    <row r="92" spans="1:17" ht="15">
      <c r="A92" s="16"/>
      <c r="B92" s="16"/>
      <c r="C92" s="16"/>
      <c r="D92" s="16"/>
      <c r="E92" s="16"/>
      <c r="F92" s="16"/>
      <c r="G92" s="16"/>
      <c r="H92" s="16"/>
      <c r="I92" s="16"/>
      <c r="J92" s="16"/>
      <c r="K92" s="16"/>
      <c r="L92" s="16"/>
      <c r="M92" s="16"/>
      <c r="N92" s="16"/>
      <c r="O92" s="16"/>
      <c r="P92" s="16"/>
      <c r="Q92" s="16"/>
    </row>
    <row r="93" spans="1:17" ht="15">
      <c r="A93" s="16"/>
      <c r="B93" s="16"/>
      <c r="C93" s="16"/>
      <c r="D93" s="16"/>
      <c r="E93" s="16"/>
      <c r="F93" s="16"/>
      <c r="G93" s="16"/>
      <c r="H93" s="16"/>
      <c r="I93" s="16"/>
      <c r="J93" s="16"/>
      <c r="K93" s="16"/>
      <c r="L93" s="16"/>
      <c r="M93" s="16"/>
      <c r="N93" s="16"/>
      <c r="O93" s="16"/>
      <c r="P93" s="16"/>
      <c r="Q93" s="16"/>
    </row>
    <row r="94" spans="1:17" ht="15">
      <c r="A94" s="16"/>
      <c r="B94" s="16"/>
      <c r="C94" s="16"/>
      <c r="D94" s="16"/>
      <c r="E94" s="16"/>
      <c r="F94" s="16"/>
      <c r="G94" s="16"/>
      <c r="H94" s="16"/>
      <c r="I94" s="16"/>
      <c r="J94" s="16"/>
      <c r="K94" s="16"/>
      <c r="L94" s="16"/>
      <c r="M94" s="16"/>
      <c r="N94" s="16"/>
      <c r="O94" s="16"/>
      <c r="P94" s="16"/>
      <c r="Q94" s="16"/>
    </row>
    <row r="95" spans="1:17" ht="15">
      <c r="A95" s="16"/>
      <c r="B95" s="16"/>
      <c r="C95" s="16"/>
      <c r="D95" s="16"/>
      <c r="E95" s="16"/>
      <c r="F95" s="16"/>
      <c r="G95" s="16"/>
      <c r="H95" s="16"/>
      <c r="I95" s="16"/>
      <c r="J95" s="16"/>
      <c r="K95" s="16"/>
      <c r="L95" s="16"/>
      <c r="M95" s="16"/>
      <c r="N95" s="16"/>
      <c r="O95" s="16"/>
      <c r="P95" s="16"/>
      <c r="Q95" s="16"/>
    </row>
    <row r="96" spans="1:17" ht="15">
      <c r="A96" s="16"/>
      <c r="B96" s="16"/>
      <c r="C96" s="16"/>
      <c r="D96" s="16"/>
      <c r="E96" s="16"/>
      <c r="F96" s="16"/>
      <c r="G96" s="16"/>
      <c r="H96" s="16"/>
      <c r="I96" s="16"/>
      <c r="J96" s="16"/>
      <c r="K96" s="16"/>
      <c r="L96" s="16"/>
      <c r="M96" s="16"/>
      <c r="N96" s="16"/>
      <c r="O96" s="16"/>
      <c r="P96" s="16"/>
      <c r="Q96" s="16"/>
    </row>
    <row r="97" spans="1:17" ht="15">
      <c r="A97" s="16"/>
      <c r="B97" s="16"/>
      <c r="C97" s="16"/>
      <c r="D97" s="16"/>
      <c r="E97" s="16"/>
      <c r="F97" s="16"/>
      <c r="G97" s="16"/>
      <c r="H97" s="16"/>
      <c r="I97" s="16"/>
      <c r="J97" s="16"/>
      <c r="K97" s="16"/>
      <c r="L97" s="16"/>
      <c r="M97" s="16"/>
      <c r="N97" s="16"/>
      <c r="O97" s="16"/>
      <c r="P97" s="16"/>
      <c r="Q97" s="16"/>
    </row>
    <row r="98" spans="1:17" ht="15">
      <c r="A98" s="16"/>
      <c r="B98" s="16"/>
      <c r="C98" s="16"/>
      <c r="D98" s="16"/>
      <c r="E98" s="16"/>
      <c r="F98" s="16"/>
      <c r="G98" s="16"/>
      <c r="H98" s="16"/>
      <c r="I98" s="16"/>
      <c r="J98" s="16"/>
      <c r="K98" s="16"/>
      <c r="L98" s="16"/>
      <c r="M98" s="16"/>
      <c r="N98" s="16"/>
      <c r="O98" s="16"/>
      <c r="P98" s="16"/>
      <c r="Q98" s="16"/>
    </row>
    <row r="99" spans="1:17" ht="15">
      <c r="A99" s="16"/>
      <c r="B99" s="16"/>
      <c r="C99" s="16"/>
      <c r="D99" s="16"/>
      <c r="E99" s="16"/>
      <c r="F99" s="16"/>
      <c r="G99" s="16"/>
      <c r="H99" s="16"/>
      <c r="I99" s="16"/>
      <c r="J99" s="16"/>
      <c r="K99" s="16"/>
      <c r="L99" s="16"/>
      <c r="M99" s="16"/>
      <c r="N99" s="16"/>
      <c r="O99" s="16"/>
      <c r="P99" s="16"/>
      <c r="Q99" s="16"/>
    </row>
    <row r="100" spans="1:17" ht="15">
      <c r="A100" s="16"/>
      <c r="B100" s="16"/>
      <c r="C100" s="16"/>
      <c r="D100" s="16"/>
      <c r="E100" s="16"/>
      <c r="F100" s="16"/>
      <c r="G100" s="16"/>
      <c r="H100" s="16"/>
      <c r="I100" s="16"/>
      <c r="J100" s="16"/>
      <c r="K100" s="16"/>
      <c r="L100" s="16"/>
      <c r="M100" s="16"/>
      <c r="N100" s="16"/>
      <c r="O100" s="16"/>
      <c r="P100" s="16"/>
      <c r="Q100" s="16"/>
    </row>
    <row r="101" spans="1:17" ht="15">
      <c r="A101" s="16"/>
      <c r="B101" s="16"/>
      <c r="C101" s="16"/>
      <c r="D101" s="16"/>
      <c r="E101" s="16"/>
      <c r="F101" s="16"/>
      <c r="G101" s="16"/>
      <c r="H101" s="16"/>
      <c r="I101" s="16"/>
      <c r="J101" s="16"/>
      <c r="K101" s="16"/>
      <c r="L101" s="16"/>
      <c r="M101" s="16"/>
      <c r="N101" s="16"/>
      <c r="O101" s="16"/>
      <c r="P101" s="16"/>
      <c r="Q101" s="16"/>
    </row>
    <row r="102" spans="1:17" ht="15">
      <c r="A102" s="16"/>
      <c r="B102" s="16"/>
      <c r="C102" s="16"/>
      <c r="D102" s="16"/>
      <c r="E102" s="16"/>
      <c r="F102" s="16"/>
      <c r="G102" s="16"/>
      <c r="H102" s="16"/>
      <c r="I102" s="16"/>
      <c r="J102" s="16"/>
      <c r="K102" s="16"/>
      <c r="L102" s="16"/>
      <c r="M102" s="16"/>
      <c r="N102" s="16"/>
      <c r="O102" s="16"/>
      <c r="P102" s="16"/>
      <c r="Q102" s="16"/>
    </row>
    <row r="103" spans="1:17" ht="15">
      <c r="A103" s="16"/>
      <c r="B103" s="16"/>
      <c r="C103" s="16"/>
      <c r="D103" s="16"/>
      <c r="E103" s="16"/>
      <c r="F103" s="16"/>
      <c r="G103" s="16"/>
      <c r="H103" s="16"/>
      <c r="I103" s="16"/>
      <c r="J103" s="16"/>
      <c r="K103" s="16"/>
      <c r="L103" s="16"/>
      <c r="M103" s="16"/>
      <c r="N103" s="16"/>
      <c r="O103" s="16"/>
      <c r="P103" s="16"/>
      <c r="Q103" s="16"/>
    </row>
    <row r="104" spans="1:17" ht="15">
      <c r="A104" s="16"/>
      <c r="B104" s="16"/>
      <c r="C104" s="16"/>
      <c r="D104" s="16"/>
      <c r="E104" s="16"/>
      <c r="F104" s="16"/>
      <c r="G104" s="16"/>
      <c r="H104" s="16"/>
      <c r="I104" s="16"/>
      <c r="J104" s="16"/>
      <c r="K104" s="16"/>
      <c r="L104" s="16"/>
      <c r="M104" s="16"/>
      <c r="N104" s="16"/>
      <c r="O104" s="16"/>
      <c r="P104" s="16"/>
      <c r="Q104" s="16"/>
    </row>
    <row r="105" spans="1:17" ht="15">
      <c r="A105" s="16"/>
      <c r="B105" s="16"/>
      <c r="C105" s="16"/>
      <c r="D105" s="16"/>
      <c r="E105" s="16"/>
      <c r="F105" s="16"/>
      <c r="G105" s="16"/>
      <c r="H105" s="16"/>
      <c r="I105" s="16"/>
      <c r="J105" s="16"/>
      <c r="K105" s="16"/>
      <c r="L105" s="16"/>
      <c r="M105" s="16"/>
      <c r="N105" s="16"/>
      <c r="O105" s="16"/>
      <c r="P105" s="16"/>
      <c r="Q105" s="16"/>
    </row>
    <row r="106" spans="1:17" ht="15">
      <c r="A106" s="16"/>
      <c r="B106" s="16"/>
      <c r="C106" s="16"/>
      <c r="D106" s="16"/>
      <c r="E106" s="16"/>
      <c r="F106" s="16"/>
      <c r="G106" s="16"/>
      <c r="H106" s="16"/>
      <c r="I106" s="16"/>
      <c r="J106" s="16"/>
      <c r="K106" s="16"/>
      <c r="L106" s="16"/>
      <c r="M106" s="16"/>
      <c r="N106" s="16"/>
      <c r="O106" s="16"/>
      <c r="P106" s="16"/>
      <c r="Q106" s="16"/>
    </row>
    <row r="107" spans="1:17" ht="15">
      <c r="A107" s="16"/>
      <c r="B107" s="16"/>
      <c r="C107" s="16"/>
      <c r="D107" s="16"/>
      <c r="E107" s="16"/>
      <c r="F107" s="16"/>
      <c r="G107" s="16"/>
      <c r="H107" s="16"/>
      <c r="I107" s="16"/>
      <c r="J107" s="16"/>
      <c r="K107" s="16"/>
      <c r="L107" s="16"/>
      <c r="M107" s="16"/>
      <c r="N107" s="16"/>
      <c r="O107" s="16"/>
      <c r="P107" s="16"/>
      <c r="Q107" s="16"/>
    </row>
    <row r="108" spans="1:17" ht="15">
      <c r="A108" s="16"/>
      <c r="B108" s="16"/>
      <c r="C108" s="16"/>
      <c r="D108" s="16"/>
      <c r="E108" s="16"/>
      <c r="F108" s="16"/>
      <c r="G108" s="16"/>
      <c r="H108" s="16"/>
      <c r="I108" s="16"/>
      <c r="J108" s="16"/>
      <c r="K108" s="16"/>
      <c r="L108" s="16"/>
      <c r="M108" s="16"/>
      <c r="N108" s="16"/>
      <c r="O108" s="16"/>
      <c r="P108" s="16"/>
      <c r="Q108" s="16"/>
    </row>
    <row r="109" spans="1:17" ht="15">
      <c r="A109" s="16"/>
      <c r="B109" s="16"/>
      <c r="C109" s="16"/>
      <c r="D109" s="16"/>
      <c r="E109" s="16"/>
      <c r="F109" s="16"/>
      <c r="G109" s="16"/>
      <c r="H109" s="16"/>
      <c r="I109" s="16"/>
      <c r="J109" s="16"/>
      <c r="K109" s="16"/>
      <c r="L109" s="16"/>
      <c r="M109" s="16"/>
      <c r="N109" s="16"/>
      <c r="O109" s="16"/>
      <c r="P109" s="16"/>
      <c r="Q109" s="16"/>
    </row>
    <row r="110" spans="1:17" ht="15">
      <c r="A110" s="16"/>
      <c r="B110" s="16"/>
      <c r="C110" s="16"/>
      <c r="D110" s="16"/>
      <c r="E110" s="16"/>
      <c r="F110" s="16"/>
      <c r="G110" s="16"/>
      <c r="H110" s="16"/>
      <c r="I110" s="16"/>
      <c r="J110" s="16"/>
      <c r="K110" s="16"/>
      <c r="L110" s="16"/>
      <c r="M110" s="16"/>
      <c r="N110" s="16"/>
      <c r="O110" s="16"/>
      <c r="P110" s="16"/>
      <c r="Q110" s="16"/>
    </row>
    <row r="111" spans="1:17" ht="15">
      <c r="A111" s="16"/>
      <c r="B111" s="16"/>
      <c r="C111" s="16"/>
      <c r="D111" s="16"/>
      <c r="E111" s="16"/>
      <c r="F111" s="16"/>
      <c r="G111" s="16"/>
      <c r="H111" s="16"/>
      <c r="I111" s="16"/>
      <c r="J111" s="16"/>
      <c r="K111" s="16"/>
      <c r="L111" s="16"/>
      <c r="M111" s="16"/>
      <c r="N111" s="16"/>
      <c r="O111" s="16"/>
      <c r="P111" s="16"/>
      <c r="Q111" s="16"/>
    </row>
    <row r="112" spans="1:17" ht="15">
      <c r="A112" s="16"/>
      <c r="B112" s="16"/>
      <c r="C112" s="16"/>
      <c r="D112" s="16"/>
      <c r="E112" s="16"/>
      <c r="F112" s="16"/>
      <c r="G112" s="16"/>
      <c r="H112" s="16"/>
      <c r="I112" s="16"/>
      <c r="J112" s="16"/>
      <c r="K112" s="16"/>
      <c r="L112" s="16"/>
      <c r="M112" s="16"/>
      <c r="N112" s="16"/>
      <c r="O112" s="16"/>
      <c r="P112" s="16"/>
      <c r="Q112" s="16"/>
    </row>
    <row r="113" spans="1:17" ht="15">
      <c r="A113" s="16"/>
      <c r="B113" s="16"/>
      <c r="C113" s="16"/>
      <c r="D113" s="16"/>
      <c r="E113" s="16"/>
      <c r="F113" s="16"/>
      <c r="G113" s="16"/>
      <c r="H113" s="16"/>
      <c r="I113" s="16"/>
      <c r="J113" s="16"/>
      <c r="K113" s="16"/>
      <c r="L113" s="16"/>
      <c r="M113" s="16"/>
      <c r="N113" s="16"/>
      <c r="O113" s="16"/>
      <c r="P113" s="16"/>
      <c r="Q113" s="16"/>
    </row>
    <row r="114" spans="1:17" ht="15">
      <c r="A114" s="16"/>
      <c r="B114" s="16"/>
      <c r="C114" s="16"/>
      <c r="D114" s="16"/>
      <c r="E114" s="16"/>
      <c r="F114" s="16"/>
      <c r="G114" s="16"/>
      <c r="H114" s="16"/>
      <c r="I114" s="16"/>
      <c r="J114" s="16"/>
      <c r="K114" s="16"/>
      <c r="L114" s="16"/>
      <c r="M114" s="16"/>
      <c r="N114" s="16"/>
      <c r="O114" s="16"/>
      <c r="P114" s="16"/>
      <c r="Q114" s="16"/>
    </row>
    <row r="115" spans="1:17" ht="15">
      <c r="A115" s="16"/>
      <c r="B115" s="16"/>
      <c r="C115" s="16"/>
      <c r="D115" s="16"/>
      <c r="E115" s="16"/>
      <c r="F115" s="16"/>
      <c r="G115" s="16"/>
      <c r="H115" s="16"/>
      <c r="I115" s="16"/>
      <c r="J115" s="16"/>
      <c r="K115" s="16"/>
      <c r="L115" s="16"/>
      <c r="M115" s="16"/>
      <c r="N115" s="16"/>
      <c r="O115" s="16"/>
      <c r="P115" s="16"/>
      <c r="Q115" s="16"/>
    </row>
    <row r="116" spans="1:17" ht="15">
      <c r="A116" s="16"/>
      <c r="B116" s="16"/>
      <c r="C116" s="16"/>
      <c r="D116" s="16"/>
      <c r="E116" s="16"/>
      <c r="F116" s="16"/>
      <c r="G116" s="16"/>
      <c r="H116" s="16"/>
      <c r="I116" s="16"/>
      <c r="J116" s="16"/>
      <c r="K116" s="16"/>
      <c r="L116" s="16"/>
      <c r="M116" s="16"/>
      <c r="N116" s="16"/>
      <c r="O116" s="16"/>
      <c r="P116" s="16"/>
      <c r="Q116" s="16"/>
    </row>
    <row r="117" spans="1:17" ht="15">
      <c r="A117" s="16"/>
      <c r="B117" s="16"/>
      <c r="C117" s="16"/>
      <c r="D117" s="16"/>
      <c r="E117" s="16"/>
      <c r="F117" s="16"/>
      <c r="G117" s="16"/>
      <c r="H117" s="16"/>
      <c r="I117" s="16"/>
      <c r="J117" s="16"/>
      <c r="K117" s="16"/>
      <c r="L117" s="16"/>
      <c r="M117" s="16"/>
      <c r="N117" s="16"/>
      <c r="O117" s="16"/>
      <c r="P117" s="16"/>
      <c r="Q117" s="16"/>
    </row>
    <row r="118" spans="1:17" ht="15">
      <c r="A118" s="16"/>
      <c r="B118" s="16"/>
      <c r="C118" s="16"/>
      <c r="D118" s="16"/>
      <c r="E118" s="16"/>
      <c r="F118" s="16"/>
      <c r="G118" s="16"/>
      <c r="H118" s="16"/>
      <c r="I118" s="16"/>
      <c r="J118" s="16"/>
      <c r="K118" s="16"/>
      <c r="L118" s="16"/>
      <c r="M118" s="16"/>
      <c r="N118" s="16"/>
      <c r="O118" s="16"/>
      <c r="P118" s="16"/>
      <c r="Q118" s="16"/>
    </row>
    <row r="119" spans="1:17" ht="15">
      <c r="A119" s="16"/>
      <c r="B119" s="16"/>
      <c r="C119" s="16"/>
      <c r="D119" s="16"/>
      <c r="E119" s="16"/>
      <c r="F119" s="16"/>
      <c r="G119" s="16"/>
      <c r="H119" s="16"/>
      <c r="I119" s="16"/>
      <c r="J119" s="16"/>
      <c r="K119" s="16"/>
      <c r="L119" s="16"/>
      <c r="M119" s="16"/>
      <c r="N119" s="16"/>
      <c r="O119" s="16"/>
      <c r="P119" s="16"/>
      <c r="Q119" s="16"/>
    </row>
    <row r="120" spans="1:17" ht="15">
      <c r="A120" s="16"/>
      <c r="B120" s="16"/>
      <c r="C120" s="16"/>
      <c r="D120" s="16"/>
      <c r="E120" s="16"/>
      <c r="F120" s="16"/>
      <c r="G120" s="16"/>
      <c r="H120" s="16"/>
      <c r="I120" s="16"/>
      <c r="J120" s="16"/>
      <c r="K120" s="16"/>
      <c r="L120" s="16"/>
      <c r="M120" s="16"/>
      <c r="N120" s="16"/>
      <c r="O120" s="16"/>
      <c r="P120" s="16"/>
      <c r="Q120" s="16"/>
    </row>
    <row r="121" spans="1:17" ht="15">
      <c r="A121" s="16"/>
      <c r="B121" s="16"/>
      <c r="C121" s="16"/>
      <c r="D121" s="16"/>
      <c r="E121" s="16"/>
      <c r="F121" s="16"/>
      <c r="G121" s="16"/>
      <c r="H121" s="16"/>
      <c r="I121" s="16"/>
      <c r="J121" s="16"/>
      <c r="K121" s="16"/>
      <c r="L121" s="16"/>
      <c r="M121" s="16"/>
      <c r="N121" s="16"/>
      <c r="O121" s="16"/>
      <c r="P121" s="16"/>
      <c r="Q121" s="16"/>
    </row>
    <row r="122" spans="1:17" ht="15">
      <c r="A122" s="16"/>
      <c r="B122" s="16"/>
      <c r="C122" s="16"/>
      <c r="D122" s="16"/>
      <c r="E122" s="16"/>
      <c r="F122" s="16"/>
      <c r="G122" s="16"/>
      <c r="H122" s="16"/>
      <c r="I122" s="16"/>
      <c r="J122" s="16"/>
      <c r="K122" s="16"/>
      <c r="L122" s="16"/>
      <c r="M122" s="16"/>
      <c r="N122" s="16"/>
      <c r="O122" s="16"/>
      <c r="P122" s="16"/>
      <c r="Q122" s="16"/>
    </row>
    <row r="123" spans="1:17" ht="15">
      <c r="A123" s="16"/>
      <c r="B123" s="16"/>
      <c r="C123" s="16"/>
      <c r="D123" s="16"/>
      <c r="E123" s="16"/>
      <c r="F123" s="16"/>
      <c r="G123" s="16"/>
      <c r="H123" s="16"/>
      <c r="I123" s="16"/>
      <c r="J123" s="16"/>
      <c r="K123" s="16"/>
      <c r="L123" s="16"/>
      <c r="M123" s="16"/>
      <c r="N123" s="16"/>
      <c r="O123" s="16"/>
      <c r="P123" s="16"/>
      <c r="Q123" s="16"/>
    </row>
    <row r="124" spans="1:17" ht="15">
      <c r="A124" s="16"/>
      <c r="B124" s="16"/>
      <c r="C124" s="16"/>
      <c r="D124" s="16"/>
      <c r="E124" s="16"/>
      <c r="F124" s="16"/>
      <c r="G124" s="16"/>
      <c r="H124" s="16"/>
      <c r="I124" s="16"/>
      <c r="J124" s="16"/>
      <c r="K124" s="16"/>
      <c r="L124" s="16"/>
      <c r="M124" s="16"/>
      <c r="N124" s="16"/>
      <c r="O124" s="16"/>
      <c r="P124" s="16"/>
      <c r="Q124" s="16"/>
    </row>
    <row r="125" spans="1:17" ht="15">
      <c r="A125" s="16"/>
      <c r="B125" s="16"/>
      <c r="C125" s="16"/>
      <c r="D125" s="16"/>
      <c r="E125" s="16"/>
      <c r="F125" s="16"/>
      <c r="G125" s="16"/>
      <c r="H125" s="16"/>
      <c r="I125" s="16"/>
      <c r="J125" s="16"/>
      <c r="K125" s="16"/>
      <c r="L125" s="16"/>
      <c r="M125" s="16"/>
      <c r="N125" s="16"/>
      <c r="O125" s="16"/>
      <c r="P125" s="16"/>
      <c r="Q125" s="16"/>
    </row>
    <row r="126" spans="1:17" ht="15">
      <c r="A126" s="16"/>
      <c r="B126" s="16"/>
      <c r="C126" s="16"/>
      <c r="D126" s="16"/>
      <c r="E126" s="16"/>
      <c r="F126" s="16"/>
      <c r="G126" s="16"/>
      <c r="H126" s="16"/>
      <c r="I126" s="16"/>
      <c r="J126" s="16"/>
      <c r="K126" s="16"/>
      <c r="L126" s="16"/>
      <c r="M126" s="16"/>
      <c r="N126" s="16"/>
      <c r="O126" s="16"/>
      <c r="P126" s="16"/>
      <c r="Q126" s="16"/>
    </row>
    <row r="127" spans="1:17" ht="15">
      <c r="A127" s="16"/>
      <c r="B127" s="16"/>
      <c r="C127" s="16"/>
      <c r="D127" s="16"/>
      <c r="E127" s="16"/>
      <c r="F127" s="16"/>
      <c r="G127" s="16"/>
      <c r="H127" s="16"/>
      <c r="I127" s="16"/>
      <c r="J127" s="16"/>
      <c r="K127" s="16"/>
      <c r="L127" s="16"/>
      <c r="M127" s="16"/>
      <c r="N127" s="16"/>
      <c r="O127" s="16"/>
      <c r="P127" s="16"/>
      <c r="Q127" s="16"/>
    </row>
    <row r="128" spans="1:17" ht="15">
      <c r="A128" s="16"/>
      <c r="B128" s="16"/>
      <c r="C128" s="16"/>
      <c r="D128" s="16"/>
      <c r="E128" s="16"/>
      <c r="F128" s="16"/>
      <c r="G128" s="16"/>
      <c r="H128" s="16"/>
      <c r="I128" s="16"/>
      <c r="J128" s="16"/>
      <c r="K128" s="16"/>
      <c r="L128" s="16"/>
      <c r="M128" s="16"/>
      <c r="N128" s="16"/>
      <c r="O128" s="16"/>
      <c r="P128" s="16"/>
      <c r="Q128" s="16"/>
    </row>
    <row r="129" spans="1:17" ht="15">
      <c r="A129" s="16"/>
      <c r="B129" s="16"/>
      <c r="C129" s="16"/>
      <c r="D129" s="16"/>
      <c r="E129" s="16"/>
      <c r="F129" s="16"/>
      <c r="G129" s="16"/>
      <c r="H129" s="16"/>
      <c r="I129" s="16"/>
      <c r="J129" s="16"/>
      <c r="K129" s="16"/>
      <c r="L129" s="16"/>
      <c r="M129" s="16"/>
      <c r="N129" s="16"/>
      <c r="O129" s="16"/>
      <c r="P129" s="16"/>
      <c r="Q129" s="16"/>
    </row>
    <row r="130" spans="1:17" ht="15">
      <c r="A130" s="16"/>
      <c r="B130" s="16"/>
      <c r="C130" s="16"/>
      <c r="D130" s="16"/>
      <c r="E130" s="16"/>
      <c r="F130" s="16"/>
      <c r="G130" s="16"/>
      <c r="H130" s="16"/>
      <c r="I130" s="16"/>
      <c r="J130" s="16"/>
      <c r="K130" s="16"/>
      <c r="L130" s="16"/>
      <c r="M130" s="16"/>
      <c r="N130" s="16"/>
      <c r="O130" s="16"/>
      <c r="P130" s="16"/>
      <c r="Q130" s="16"/>
    </row>
    <row r="131" spans="1:17" ht="15">
      <c r="A131" s="16"/>
      <c r="B131" s="16"/>
      <c r="C131" s="16"/>
      <c r="D131" s="16"/>
      <c r="E131" s="16"/>
      <c r="F131" s="16"/>
      <c r="G131" s="16"/>
      <c r="H131" s="16"/>
      <c r="I131" s="16"/>
      <c r="J131" s="16"/>
      <c r="K131" s="16"/>
      <c r="L131" s="16"/>
      <c r="M131" s="16"/>
      <c r="N131" s="16"/>
      <c r="O131" s="16"/>
      <c r="P131" s="16"/>
      <c r="Q131" s="16"/>
    </row>
    <row r="132" spans="1:17" ht="15">
      <c r="A132" s="16"/>
      <c r="B132" s="16"/>
      <c r="C132" s="16"/>
      <c r="D132" s="16"/>
      <c r="E132" s="16"/>
      <c r="F132" s="16"/>
      <c r="G132" s="16"/>
      <c r="H132" s="16"/>
      <c r="I132" s="16"/>
      <c r="J132" s="16"/>
      <c r="K132" s="16"/>
      <c r="L132" s="16"/>
      <c r="M132" s="16"/>
      <c r="N132" s="16"/>
      <c r="O132" s="16"/>
      <c r="P132" s="16"/>
      <c r="Q132" s="16"/>
    </row>
    <row r="133" spans="1:17" ht="15">
      <c r="A133" s="16"/>
      <c r="B133" s="16"/>
      <c r="C133" s="16"/>
      <c r="D133" s="16"/>
      <c r="E133" s="16"/>
      <c r="F133" s="16"/>
      <c r="G133" s="16"/>
      <c r="H133" s="16"/>
      <c r="I133" s="16"/>
      <c r="J133" s="16"/>
      <c r="K133" s="16"/>
      <c r="L133" s="16"/>
      <c r="M133" s="16"/>
      <c r="N133" s="16"/>
      <c r="O133" s="16"/>
      <c r="P133" s="16"/>
      <c r="Q133" s="16"/>
    </row>
    <row r="134" spans="1:17" ht="15">
      <c r="A134" s="16"/>
      <c r="B134" s="16"/>
      <c r="C134" s="16"/>
      <c r="D134" s="16"/>
      <c r="E134" s="16"/>
      <c r="F134" s="16"/>
      <c r="G134" s="16"/>
      <c r="H134" s="16"/>
      <c r="I134" s="16"/>
      <c r="J134" s="16"/>
      <c r="K134" s="16"/>
      <c r="L134" s="16"/>
      <c r="M134" s="16"/>
      <c r="N134" s="16"/>
      <c r="O134" s="16"/>
      <c r="P134" s="16"/>
      <c r="Q134" s="16"/>
    </row>
    <row r="135" spans="1:17" ht="15">
      <c r="A135" s="16"/>
      <c r="B135" s="16"/>
      <c r="C135" s="16"/>
      <c r="D135" s="16"/>
      <c r="E135" s="16"/>
      <c r="F135" s="16"/>
      <c r="G135" s="16"/>
      <c r="H135" s="16"/>
      <c r="I135" s="16"/>
      <c r="J135" s="16"/>
      <c r="K135" s="16"/>
      <c r="L135" s="16"/>
      <c r="M135" s="16"/>
      <c r="N135" s="16"/>
      <c r="O135" s="16"/>
      <c r="P135" s="16"/>
      <c r="Q135" s="16"/>
    </row>
    <row r="136" spans="1:17" ht="15">
      <c r="A136" s="16"/>
      <c r="B136" s="16"/>
      <c r="C136" s="16"/>
      <c r="D136" s="16"/>
      <c r="E136" s="16"/>
      <c r="F136" s="16"/>
      <c r="G136" s="16"/>
      <c r="H136" s="16"/>
      <c r="I136" s="16"/>
      <c r="J136" s="16"/>
      <c r="K136" s="16"/>
      <c r="L136" s="16"/>
      <c r="M136" s="16"/>
      <c r="N136" s="16"/>
      <c r="O136" s="16"/>
      <c r="P136" s="16"/>
      <c r="Q136" s="16"/>
    </row>
    <row r="137" spans="1:17" ht="15">
      <c r="A137" s="16"/>
      <c r="B137" s="16"/>
      <c r="C137" s="16"/>
      <c r="D137" s="16"/>
      <c r="E137" s="16"/>
      <c r="F137" s="16"/>
      <c r="G137" s="16"/>
      <c r="H137" s="16"/>
      <c r="I137" s="16"/>
      <c r="J137" s="16"/>
      <c r="K137" s="16"/>
      <c r="L137" s="16"/>
      <c r="M137" s="16"/>
      <c r="N137" s="16"/>
      <c r="O137" s="16"/>
      <c r="P137" s="16"/>
      <c r="Q137" s="16"/>
    </row>
    <row r="138" spans="1:17" ht="15">
      <c r="A138" s="16"/>
      <c r="B138" s="16"/>
      <c r="C138" s="16"/>
      <c r="D138" s="16"/>
      <c r="E138" s="16"/>
      <c r="F138" s="16"/>
      <c r="G138" s="16"/>
      <c r="H138" s="16"/>
      <c r="I138" s="16"/>
      <c r="J138" s="16"/>
      <c r="K138" s="16"/>
      <c r="L138" s="16"/>
      <c r="M138" s="16"/>
      <c r="N138" s="16"/>
      <c r="O138" s="16"/>
      <c r="P138" s="16"/>
      <c r="Q138" s="16"/>
    </row>
    <row r="139" spans="1:17" ht="15">
      <c r="A139" s="16"/>
      <c r="B139" s="16"/>
      <c r="C139" s="16"/>
      <c r="D139" s="16"/>
      <c r="E139" s="16"/>
      <c r="F139" s="16"/>
      <c r="G139" s="16"/>
      <c r="H139" s="16"/>
      <c r="I139" s="16"/>
      <c r="J139" s="16"/>
      <c r="K139" s="16"/>
      <c r="L139" s="16"/>
      <c r="M139" s="16"/>
      <c r="N139" s="16"/>
      <c r="O139" s="16"/>
      <c r="P139" s="16"/>
      <c r="Q139" s="16"/>
    </row>
    <row r="140" spans="1:17" ht="15">
      <c r="A140" s="16"/>
      <c r="B140" s="16"/>
      <c r="C140" s="16"/>
      <c r="D140" s="16"/>
      <c r="E140" s="16"/>
      <c r="F140" s="16"/>
      <c r="G140" s="16"/>
      <c r="H140" s="16"/>
      <c r="I140" s="16"/>
      <c r="J140" s="16"/>
      <c r="K140" s="16"/>
      <c r="L140" s="16"/>
      <c r="M140" s="16"/>
      <c r="N140" s="16"/>
      <c r="O140" s="16"/>
      <c r="P140" s="16"/>
      <c r="Q140" s="16"/>
    </row>
    <row r="141" spans="1:17" ht="15">
      <c r="A141" s="16"/>
      <c r="B141" s="16"/>
      <c r="C141" s="16"/>
      <c r="D141" s="16"/>
      <c r="E141" s="16"/>
      <c r="F141" s="16"/>
      <c r="G141" s="16"/>
      <c r="H141" s="16"/>
      <c r="I141" s="16"/>
      <c r="J141" s="16"/>
      <c r="K141" s="16"/>
      <c r="L141" s="16"/>
      <c r="M141" s="16"/>
      <c r="N141" s="16"/>
      <c r="O141" s="16"/>
      <c r="P141" s="16"/>
      <c r="Q141" s="16"/>
    </row>
    <row r="142" spans="1:17" ht="15">
      <c r="A142" s="16"/>
      <c r="B142" s="16"/>
      <c r="C142" s="16"/>
      <c r="D142" s="16"/>
      <c r="E142" s="16"/>
      <c r="F142" s="16"/>
      <c r="G142" s="16"/>
      <c r="H142" s="16"/>
      <c r="I142" s="16"/>
      <c r="J142" s="16"/>
      <c r="K142" s="16"/>
      <c r="L142" s="16"/>
      <c r="M142" s="16"/>
      <c r="N142" s="16"/>
      <c r="O142" s="16"/>
      <c r="P142" s="16"/>
      <c r="Q142" s="16"/>
    </row>
    <row r="143" spans="1:17" ht="15">
      <c r="A143" s="16"/>
      <c r="B143" s="16"/>
      <c r="C143" s="16"/>
      <c r="D143" s="16"/>
      <c r="E143" s="16"/>
      <c r="F143" s="16"/>
      <c r="G143" s="16"/>
      <c r="H143" s="16"/>
      <c r="I143" s="16"/>
      <c r="J143" s="16"/>
      <c r="K143" s="16"/>
      <c r="L143" s="16"/>
      <c r="M143" s="16"/>
      <c r="N143" s="16"/>
      <c r="O143" s="16"/>
      <c r="P143" s="16"/>
      <c r="Q143" s="16"/>
    </row>
    <row r="144" spans="1:17" ht="15">
      <c r="A144" s="16"/>
      <c r="B144" s="16"/>
      <c r="C144" s="16"/>
      <c r="D144" s="16"/>
      <c r="E144" s="16"/>
      <c r="F144" s="16"/>
      <c r="G144" s="16"/>
      <c r="H144" s="16"/>
      <c r="I144" s="16"/>
      <c r="J144" s="16"/>
      <c r="K144" s="16"/>
      <c r="L144" s="16"/>
      <c r="M144" s="16"/>
      <c r="N144" s="16"/>
      <c r="O144" s="16"/>
      <c r="P144" s="16"/>
      <c r="Q144" s="16"/>
    </row>
    <row r="145" spans="1:17" ht="15">
      <c r="A145" s="16"/>
      <c r="B145" s="16"/>
      <c r="C145" s="16"/>
      <c r="D145" s="16"/>
      <c r="E145" s="16"/>
      <c r="F145" s="16"/>
      <c r="G145" s="16"/>
      <c r="H145" s="16"/>
      <c r="I145" s="16"/>
      <c r="J145" s="16"/>
      <c r="K145" s="16"/>
      <c r="L145" s="16"/>
      <c r="M145" s="16"/>
      <c r="N145" s="16"/>
      <c r="O145" s="16"/>
      <c r="P145" s="16"/>
      <c r="Q145" s="16"/>
    </row>
    <row r="146" spans="1:17" ht="15">
      <c r="A146" s="16"/>
      <c r="B146" s="16"/>
      <c r="C146" s="16"/>
      <c r="D146" s="16"/>
      <c r="E146" s="16"/>
      <c r="F146" s="16"/>
      <c r="G146" s="16"/>
      <c r="H146" s="16"/>
      <c r="I146" s="16"/>
      <c r="J146" s="16"/>
      <c r="K146" s="16"/>
      <c r="L146" s="16"/>
      <c r="M146" s="16"/>
      <c r="N146" s="16"/>
      <c r="O146" s="16"/>
      <c r="P146" s="16"/>
      <c r="Q146" s="16"/>
    </row>
    <row r="147" spans="1:17" ht="15">
      <c r="A147" s="16"/>
      <c r="B147" s="16"/>
      <c r="C147" s="16"/>
      <c r="D147" s="16"/>
      <c r="E147" s="16"/>
      <c r="F147" s="16"/>
      <c r="G147" s="16"/>
      <c r="H147" s="16"/>
      <c r="I147" s="16"/>
      <c r="J147" s="16"/>
      <c r="K147" s="16"/>
      <c r="L147" s="16"/>
      <c r="M147" s="16"/>
      <c r="N147" s="16"/>
      <c r="O147" s="16"/>
      <c r="P147" s="16"/>
      <c r="Q147" s="16"/>
    </row>
    <row r="148" spans="1:17" ht="15">
      <c r="A148" s="16"/>
      <c r="B148" s="16"/>
      <c r="C148" s="16"/>
      <c r="D148" s="16"/>
      <c r="E148" s="16"/>
      <c r="F148" s="16"/>
      <c r="G148" s="16"/>
      <c r="H148" s="16"/>
      <c r="I148" s="16"/>
      <c r="J148" s="16"/>
      <c r="K148" s="16"/>
      <c r="L148" s="16"/>
      <c r="M148" s="16"/>
      <c r="N148" s="16"/>
      <c r="O148" s="16"/>
      <c r="P148" s="16"/>
      <c r="Q148" s="16"/>
    </row>
    <row r="149" spans="1:17" ht="15">
      <c r="A149" s="16"/>
      <c r="B149" s="16"/>
      <c r="C149" s="16"/>
      <c r="D149" s="16"/>
      <c r="E149" s="16"/>
      <c r="F149" s="16"/>
      <c r="G149" s="16"/>
      <c r="H149" s="16"/>
      <c r="I149" s="16"/>
      <c r="J149" s="16"/>
      <c r="K149" s="16"/>
      <c r="L149" s="16"/>
      <c r="M149" s="16"/>
      <c r="N149" s="16"/>
      <c r="O149" s="16"/>
      <c r="P149" s="16"/>
      <c r="Q149" s="16"/>
    </row>
    <row r="150" spans="1:17" ht="15">
      <c r="A150" s="16"/>
      <c r="B150" s="16"/>
      <c r="C150" s="16"/>
      <c r="D150" s="16"/>
      <c r="E150" s="16"/>
      <c r="F150" s="16"/>
      <c r="G150" s="16"/>
      <c r="H150" s="16"/>
      <c r="I150" s="16"/>
      <c r="J150" s="16"/>
      <c r="K150" s="16"/>
      <c r="L150" s="16"/>
      <c r="M150" s="16"/>
      <c r="N150" s="16"/>
      <c r="O150" s="16"/>
      <c r="P150" s="16"/>
      <c r="Q150" s="16"/>
    </row>
    <row r="151" spans="1:17" ht="15">
      <c r="A151" s="16"/>
      <c r="B151" s="16"/>
      <c r="C151" s="16"/>
      <c r="D151" s="16"/>
      <c r="E151" s="16"/>
      <c r="F151" s="16"/>
      <c r="G151" s="16"/>
      <c r="H151" s="16"/>
      <c r="I151" s="16"/>
      <c r="J151" s="16"/>
      <c r="K151" s="16"/>
      <c r="L151" s="16"/>
      <c r="M151" s="16"/>
      <c r="N151" s="16"/>
      <c r="O151" s="16"/>
      <c r="P151" s="16"/>
      <c r="Q151" s="16"/>
    </row>
    <row r="152" spans="1:17" ht="15">
      <c r="A152" s="16"/>
      <c r="B152" s="16"/>
      <c r="C152" s="16"/>
      <c r="D152" s="16"/>
      <c r="E152" s="16"/>
      <c r="F152" s="16"/>
      <c r="G152" s="16"/>
      <c r="H152" s="16"/>
      <c r="I152" s="16"/>
      <c r="J152" s="16"/>
      <c r="K152" s="16"/>
      <c r="L152" s="16"/>
      <c r="M152" s="16"/>
      <c r="N152" s="16"/>
      <c r="O152" s="16"/>
      <c r="P152" s="16"/>
      <c r="Q152" s="16"/>
    </row>
    <row r="153" spans="1:17" ht="15">
      <c r="A153" s="16"/>
      <c r="B153" s="16"/>
      <c r="C153" s="16"/>
      <c r="D153" s="16"/>
      <c r="E153" s="16"/>
      <c r="F153" s="16"/>
      <c r="G153" s="16"/>
      <c r="H153" s="16"/>
      <c r="I153" s="16"/>
      <c r="J153" s="16"/>
      <c r="K153" s="16"/>
      <c r="L153" s="16"/>
      <c r="M153" s="16"/>
      <c r="N153" s="16"/>
      <c r="O153" s="16"/>
      <c r="P153" s="16"/>
      <c r="Q153" s="16"/>
    </row>
    <row r="154" spans="1:17" ht="15">
      <c r="A154" s="16"/>
      <c r="B154" s="16"/>
      <c r="C154" s="16"/>
      <c r="D154" s="16"/>
      <c r="E154" s="16"/>
      <c r="F154" s="16"/>
      <c r="G154" s="16"/>
      <c r="H154" s="16"/>
      <c r="I154" s="16"/>
      <c r="J154" s="16"/>
      <c r="K154" s="16"/>
      <c r="L154" s="16"/>
      <c r="M154" s="16"/>
      <c r="N154" s="16"/>
      <c r="O154" s="16"/>
      <c r="P154" s="16"/>
      <c r="Q154" s="16"/>
    </row>
    <row r="155" spans="1:17" ht="15">
      <c r="A155" s="16"/>
      <c r="B155" s="16"/>
      <c r="C155" s="16"/>
      <c r="D155" s="16"/>
      <c r="E155" s="16"/>
      <c r="F155" s="16"/>
      <c r="G155" s="16"/>
      <c r="H155" s="16"/>
      <c r="I155" s="16"/>
      <c r="J155" s="16"/>
      <c r="K155" s="16"/>
      <c r="L155" s="16"/>
      <c r="M155" s="16"/>
      <c r="N155" s="16"/>
      <c r="O155" s="16"/>
      <c r="P155" s="16"/>
      <c r="Q155" s="16"/>
    </row>
    <row r="156" spans="1:17" ht="15">
      <c r="A156" s="16"/>
      <c r="B156" s="16"/>
      <c r="C156" s="16"/>
      <c r="D156" s="16"/>
      <c r="E156" s="16"/>
      <c r="F156" s="16"/>
      <c r="G156" s="16"/>
      <c r="H156" s="16"/>
      <c r="I156" s="16"/>
      <c r="J156" s="16"/>
      <c r="K156" s="16"/>
      <c r="L156" s="16"/>
      <c r="M156" s="16"/>
      <c r="N156" s="16"/>
      <c r="O156" s="16"/>
      <c r="P156" s="16"/>
      <c r="Q156" s="16"/>
    </row>
    <row r="157" spans="1:17" ht="15">
      <c r="A157" s="16"/>
      <c r="B157" s="16"/>
      <c r="C157" s="16"/>
      <c r="D157" s="16"/>
      <c r="E157" s="16"/>
      <c r="F157" s="16"/>
      <c r="G157" s="16"/>
      <c r="H157" s="16"/>
      <c r="I157" s="16"/>
      <c r="J157" s="16"/>
      <c r="K157" s="16"/>
      <c r="L157" s="16"/>
      <c r="M157" s="16"/>
      <c r="N157" s="16"/>
      <c r="O157" s="16"/>
      <c r="P157" s="16"/>
      <c r="Q157" s="16"/>
    </row>
    <row r="158" spans="1:17" ht="15">
      <c r="A158" s="16"/>
      <c r="B158" s="16"/>
      <c r="C158" s="16"/>
      <c r="D158" s="16"/>
      <c r="E158" s="16"/>
      <c r="F158" s="16"/>
      <c r="G158" s="16"/>
      <c r="H158" s="16"/>
      <c r="I158" s="16"/>
      <c r="J158" s="16"/>
      <c r="K158" s="16"/>
      <c r="L158" s="16"/>
      <c r="M158" s="16"/>
      <c r="N158" s="16"/>
      <c r="O158" s="16"/>
      <c r="P158" s="16"/>
      <c r="Q158" s="16"/>
    </row>
    <row r="159" spans="1:17" ht="15">
      <c r="A159" s="16"/>
      <c r="B159" s="16"/>
      <c r="C159" s="16"/>
      <c r="D159" s="16"/>
      <c r="E159" s="16"/>
      <c r="F159" s="16"/>
      <c r="G159" s="16"/>
      <c r="H159" s="16"/>
      <c r="I159" s="16"/>
      <c r="J159" s="16"/>
      <c r="K159" s="16"/>
      <c r="L159" s="16"/>
      <c r="M159" s="16"/>
      <c r="N159" s="16"/>
      <c r="O159" s="16"/>
      <c r="P159" s="16"/>
      <c r="Q159" s="16"/>
    </row>
    <row r="160" spans="1:17" ht="15">
      <c r="A160" s="16"/>
      <c r="B160" s="16"/>
      <c r="C160" s="16"/>
      <c r="D160" s="16"/>
      <c r="E160" s="16"/>
      <c r="F160" s="16"/>
      <c r="G160" s="16"/>
      <c r="H160" s="16"/>
      <c r="I160" s="16"/>
      <c r="J160" s="16"/>
      <c r="K160" s="16"/>
      <c r="L160" s="16"/>
      <c r="M160" s="16"/>
      <c r="N160" s="16"/>
      <c r="O160" s="16"/>
      <c r="P160" s="16"/>
      <c r="Q160" s="16"/>
    </row>
    <row r="161" spans="1:17" ht="15">
      <c r="A161" s="16"/>
      <c r="B161" s="16"/>
      <c r="C161" s="16"/>
      <c r="D161" s="16"/>
      <c r="E161" s="16"/>
      <c r="F161" s="16"/>
      <c r="G161" s="16"/>
      <c r="H161" s="16"/>
      <c r="I161" s="16"/>
      <c r="J161" s="16"/>
      <c r="K161" s="16"/>
      <c r="L161" s="16"/>
      <c r="M161" s="16"/>
      <c r="N161" s="16"/>
      <c r="O161" s="16"/>
      <c r="P161" s="16"/>
      <c r="Q161" s="16"/>
    </row>
    <row r="162" spans="1:17" ht="15">
      <c r="A162" s="16"/>
      <c r="B162" s="16"/>
      <c r="C162" s="16"/>
      <c r="D162" s="16"/>
      <c r="E162" s="16"/>
      <c r="F162" s="16"/>
      <c r="G162" s="16"/>
      <c r="H162" s="16"/>
      <c r="I162" s="16"/>
      <c r="J162" s="16"/>
      <c r="K162" s="16"/>
      <c r="L162" s="16"/>
      <c r="M162" s="16"/>
      <c r="N162" s="16"/>
      <c r="O162" s="16"/>
      <c r="P162" s="16"/>
      <c r="Q162" s="16"/>
    </row>
    <row r="163" spans="1:17" ht="15">
      <c r="A163" s="16"/>
      <c r="B163" s="16"/>
      <c r="C163" s="16"/>
      <c r="D163" s="16"/>
      <c r="E163" s="16"/>
      <c r="F163" s="16"/>
      <c r="G163" s="16"/>
      <c r="H163" s="16"/>
      <c r="I163" s="16"/>
      <c r="J163" s="16"/>
      <c r="K163" s="16"/>
      <c r="L163" s="16"/>
      <c r="M163" s="16"/>
      <c r="N163" s="16"/>
      <c r="O163" s="16"/>
      <c r="P163" s="16"/>
      <c r="Q163" s="16"/>
    </row>
    <row r="164" spans="1:17" ht="15">
      <c r="A164" s="16"/>
      <c r="B164" s="16"/>
      <c r="C164" s="16"/>
      <c r="D164" s="16"/>
      <c r="E164" s="16"/>
      <c r="F164" s="16"/>
      <c r="G164" s="16"/>
      <c r="H164" s="16"/>
      <c r="I164" s="16"/>
      <c r="J164" s="16"/>
      <c r="K164" s="16"/>
      <c r="L164" s="16"/>
      <c r="M164" s="16"/>
      <c r="N164" s="16"/>
      <c r="O164" s="16"/>
      <c r="P164" s="16"/>
      <c r="Q164" s="16"/>
    </row>
    <row r="165" spans="1:17" ht="15">
      <c r="A165" s="16"/>
      <c r="B165" s="16"/>
      <c r="C165" s="16"/>
      <c r="D165" s="16"/>
      <c r="E165" s="16"/>
      <c r="F165" s="16"/>
      <c r="G165" s="16"/>
      <c r="H165" s="16"/>
      <c r="I165" s="16"/>
      <c r="J165" s="16"/>
      <c r="K165" s="16"/>
      <c r="L165" s="16"/>
      <c r="M165" s="16"/>
      <c r="N165" s="16"/>
      <c r="O165" s="16"/>
      <c r="P165" s="16"/>
      <c r="Q165" s="16"/>
    </row>
    <row r="166" spans="1:17" ht="15">
      <c r="A166" s="16"/>
      <c r="B166" s="16"/>
      <c r="C166" s="16"/>
      <c r="D166" s="16"/>
      <c r="E166" s="16"/>
      <c r="F166" s="16"/>
      <c r="G166" s="16"/>
      <c r="H166" s="16"/>
      <c r="I166" s="16"/>
      <c r="J166" s="16"/>
      <c r="K166" s="16"/>
      <c r="L166" s="16"/>
      <c r="M166" s="16"/>
      <c r="N166" s="16"/>
      <c r="O166" s="16"/>
      <c r="P166" s="16"/>
      <c r="Q166" s="16"/>
    </row>
    <row r="167" spans="1:17" ht="15">
      <c r="A167" s="16"/>
      <c r="B167" s="16"/>
      <c r="C167" s="16"/>
      <c r="D167" s="16"/>
      <c r="E167" s="16"/>
      <c r="F167" s="16"/>
      <c r="G167" s="16"/>
      <c r="H167" s="16"/>
      <c r="I167" s="16"/>
      <c r="J167" s="16"/>
      <c r="K167" s="16"/>
      <c r="L167" s="16"/>
      <c r="M167" s="16"/>
      <c r="N167" s="16"/>
      <c r="O167" s="16"/>
      <c r="P167" s="16"/>
      <c r="Q167" s="16"/>
    </row>
    <row r="168" spans="1:17" ht="15">
      <c r="A168" s="16"/>
      <c r="B168" s="16"/>
      <c r="C168" s="16"/>
      <c r="D168" s="16"/>
      <c r="E168" s="16"/>
      <c r="F168" s="16"/>
      <c r="G168" s="16"/>
      <c r="H168" s="16"/>
      <c r="I168" s="16"/>
      <c r="J168" s="16"/>
      <c r="K168" s="16"/>
      <c r="L168" s="16"/>
      <c r="M168" s="16"/>
      <c r="N168" s="16"/>
      <c r="O168" s="16"/>
      <c r="P168" s="16"/>
      <c r="Q168" s="16"/>
    </row>
    <row r="169" spans="1:17" ht="15">
      <c r="A169" s="16"/>
      <c r="B169" s="16"/>
      <c r="C169" s="16"/>
      <c r="D169" s="16"/>
      <c r="E169" s="16"/>
      <c r="F169" s="16"/>
      <c r="G169" s="16"/>
      <c r="H169" s="16"/>
      <c r="I169" s="16"/>
      <c r="J169" s="16"/>
      <c r="K169" s="16"/>
      <c r="L169" s="16"/>
      <c r="M169" s="16"/>
      <c r="N169" s="16"/>
      <c r="O169" s="16"/>
      <c r="P169" s="16"/>
      <c r="Q169" s="16"/>
    </row>
    <row r="170" spans="1:17" ht="15">
      <c r="A170" s="16"/>
      <c r="B170" s="16"/>
      <c r="C170" s="16"/>
      <c r="D170" s="16"/>
      <c r="E170" s="16"/>
      <c r="F170" s="16"/>
      <c r="G170" s="16"/>
      <c r="H170" s="16"/>
      <c r="I170" s="16"/>
      <c r="J170" s="16"/>
      <c r="K170" s="16"/>
      <c r="L170" s="16"/>
      <c r="M170" s="16"/>
      <c r="N170" s="16"/>
      <c r="O170" s="16"/>
      <c r="P170" s="16"/>
      <c r="Q170" s="16"/>
    </row>
    <row r="171" spans="1:17" ht="15">
      <c r="A171" s="16"/>
      <c r="B171" s="16"/>
      <c r="C171" s="16"/>
      <c r="D171" s="16"/>
      <c r="E171" s="16"/>
      <c r="F171" s="16"/>
      <c r="G171" s="16"/>
      <c r="H171" s="16"/>
      <c r="I171" s="16"/>
      <c r="J171" s="16"/>
      <c r="K171" s="16"/>
      <c r="L171" s="16"/>
      <c r="M171" s="16"/>
      <c r="N171" s="16"/>
      <c r="O171" s="16"/>
      <c r="P171" s="16"/>
      <c r="Q171" s="16"/>
    </row>
    <row r="172" spans="1:17" ht="15">
      <c r="A172" s="16"/>
      <c r="B172" s="16"/>
      <c r="C172" s="16"/>
      <c r="D172" s="16"/>
      <c r="E172" s="16"/>
      <c r="F172" s="16"/>
      <c r="G172" s="16"/>
      <c r="H172" s="16"/>
      <c r="I172" s="16"/>
      <c r="J172" s="16"/>
      <c r="K172" s="16"/>
      <c r="L172" s="16"/>
      <c r="M172" s="16"/>
      <c r="N172" s="16"/>
      <c r="O172" s="16"/>
      <c r="P172" s="16"/>
      <c r="Q172" s="16"/>
    </row>
    <row r="173" spans="1:17" ht="15">
      <c r="A173" s="16"/>
      <c r="B173" s="16"/>
      <c r="C173" s="16"/>
      <c r="D173" s="16"/>
      <c r="E173" s="16"/>
      <c r="F173" s="16"/>
      <c r="G173" s="16"/>
      <c r="H173" s="16"/>
      <c r="I173" s="16"/>
      <c r="J173" s="16"/>
      <c r="K173" s="16"/>
      <c r="L173" s="16"/>
      <c r="M173" s="16"/>
      <c r="N173" s="16"/>
      <c r="O173" s="16"/>
      <c r="P173" s="16"/>
      <c r="Q173" s="16"/>
    </row>
    <row r="174" spans="1:17" ht="15">
      <c r="A174" s="16"/>
      <c r="B174" s="16"/>
      <c r="C174" s="16"/>
      <c r="D174" s="16"/>
      <c r="E174" s="16"/>
      <c r="F174" s="16"/>
      <c r="G174" s="16"/>
      <c r="H174" s="16"/>
      <c r="I174" s="16"/>
      <c r="J174" s="16"/>
      <c r="K174" s="16"/>
      <c r="L174" s="16"/>
      <c r="M174" s="16"/>
      <c r="N174" s="16"/>
      <c r="O174" s="16"/>
      <c r="P174" s="16"/>
      <c r="Q174" s="16"/>
    </row>
    <row r="175" spans="1:17" ht="15">
      <c r="A175" s="16"/>
      <c r="B175" s="16"/>
      <c r="C175" s="16"/>
      <c r="D175" s="16"/>
      <c r="E175" s="16"/>
      <c r="F175" s="16"/>
      <c r="G175" s="16"/>
      <c r="H175" s="16"/>
      <c r="I175" s="16"/>
      <c r="J175" s="16"/>
      <c r="K175" s="16"/>
      <c r="L175" s="16"/>
      <c r="M175" s="16"/>
      <c r="N175" s="16"/>
      <c r="O175" s="16"/>
      <c r="P175" s="16"/>
      <c r="Q175" s="16"/>
    </row>
    <row r="176" spans="1:17" ht="15">
      <c r="A176" s="16"/>
      <c r="B176" s="16"/>
      <c r="C176" s="16"/>
      <c r="D176" s="16"/>
      <c r="E176" s="16"/>
      <c r="F176" s="16"/>
      <c r="G176" s="16"/>
      <c r="H176" s="16"/>
      <c r="I176" s="16"/>
      <c r="J176" s="16"/>
      <c r="K176" s="16"/>
      <c r="L176" s="16"/>
      <c r="M176" s="16"/>
      <c r="N176" s="16"/>
      <c r="O176" s="16"/>
      <c r="P176" s="16"/>
      <c r="Q176" s="16"/>
    </row>
    <row r="177" spans="1:17" ht="15">
      <c r="A177" s="16"/>
      <c r="B177" s="16"/>
      <c r="C177" s="16"/>
      <c r="D177" s="16"/>
      <c r="E177" s="16"/>
      <c r="F177" s="16"/>
      <c r="G177" s="16"/>
      <c r="H177" s="16"/>
      <c r="I177" s="16"/>
      <c r="J177" s="16"/>
      <c r="K177" s="16"/>
      <c r="L177" s="16"/>
      <c r="M177" s="16"/>
      <c r="N177" s="16"/>
      <c r="O177" s="16"/>
      <c r="P177" s="16"/>
      <c r="Q177" s="16"/>
    </row>
    <row r="178" spans="1:17" ht="15">
      <c r="A178" s="16"/>
      <c r="B178" s="16"/>
      <c r="C178" s="16"/>
      <c r="D178" s="16"/>
      <c r="E178" s="16"/>
      <c r="F178" s="16"/>
      <c r="G178" s="16"/>
      <c r="H178" s="16"/>
      <c r="I178" s="16"/>
      <c r="J178" s="16"/>
      <c r="K178" s="16"/>
      <c r="L178" s="16"/>
      <c r="M178" s="16"/>
      <c r="N178" s="16"/>
      <c r="O178" s="16"/>
      <c r="P178" s="16"/>
      <c r="Q178" s="16"/>
    </row>
    <row r="179" spans="1:17" ht="15">
      <c r="A179" s="16"/>
      <c r="B179" s="16"/>
      <c r="C179" s="16"/>
      <c r="D179" s="16"/>
      <c r="E179" s="16"/>
      <c r="F179" s="16"/>
      <c r="G179" s="16"/>
      <c r="H179" s="16"/>
      <c r="I179" s="16"/>
      <c r="J179" s="16"/>
      <c r="K179" s="16"/>
      <c r="L179" s="16"/>
      <c r="M179" s="16"/>
      <c r="N179" s="16"/>
      <c r="O179" s="16"/>
      <c r="P179" s="16"/>
      <c r="Q179" s="16"/>
    </row>
    <row r="180" spans="1:17" ht="15">
      <c r="A180" s="16"/>
      <c r="B180" s="16"/>
      <c r="C180" s="16"/>
      <c r="D180" s="16"/>
      <c r="E180" s="16"/>
      <c r="F180" s="16"/>
      <c r="G180" s="16"/>
      <c r="H180" s="16"/>
      <c r="I180" s="16"/>
      <c r="J180" s="16"/>
      <c r="K180" s="16"/>
      <c r="L180" s="16"/>
      <c r="M180" s="16"/>
      <c r="N180" s="16"/>
      <c r="O180" s="16"/>
      <c r="P180" s="16"/>
      <c r="Q180" s="16"/>
    </row>
    <row r="181" spans="1:17" ht="15">
      <c r="A181" s="16"/>
      <c r="B181" s="16"/>
      <c r="C181" s="16"/>
      <c r="D181" s="16"/>
      <c r="E181" s="16"/>
      <c r="F181" s="16"/>
      <c r="G181" s="16"/>
      <c r="H181" s="16"/>
      <c r="I181" s="16"/>
      <c r="J181" s="16"/>
      <c r="K181" s="16"/>
      <c r="L181" s="16"/>
      <c r="M181" s="16"/>
      <c r="N181" s="16"/>
      <c r="O181" s="16"/>
      <c r="P181" s="16"/>
      <c r="Q181" s="16"/>
    </row>
    <row r="182" spans="1:17" ht="15">
      <c r="A182" s="16"/>
      <c r="B182" s="16"/>
      <c r="C182" s="16"/>
      <c r="D182" s="16"/>
      <c r="E182" s="16"/>
      <c r="F182" s="16"/>
      <c r="G182" s="16"/>
      <c r="H182" s="16"/>
      <c r="I182" s="16"/>
      <c r="J182" s="16"/>
      <c r="K182" s="16"/>
      <c r="L182" s="16"/>
      <c r="M182" s="16"/>
      <c r="N182" s="16"/>
      <c r="O182" s="16"/>
      <c r="P182" s="16"/>
      <c r="Q182" s="16"/>
    </row>
    <row r="183" spans="1:17" ht="15">
      <c r="A183" s="16"/>
      <c r="B183" s="16"/>
      <c r="C183" s="16"/>
      <c r="D183" s="16"/>
      <c r="E183" s="16"/>
      <c r="F183" s="16"/>
      <c r="G183" s="16"/>
      <c r="H183" s="16"/>
      <c r="I183" s="16"/>
      <c r="J183" s="16"/>
      <c r="K183" s="16"/>
      <c r="L183" s="16"/>
      <c r="M183" s="16"/>
      <c r="N183" s="16"/>
      <c r="O183" s="16"/>
      <c r="P183" s="16"/>
      <c r="Q183" s="16"/>
    </row>
    <row r="184" spans="1:17" ht="15">
      <c r="A184" s="16"/>
      <c r="B184" s="16"/>
      <c r="C184" s="16"/>
      <c r="D184" s="16"/>
      <c r="E184" s="16"/>
      <c r="F184" s="16"/>
      <c r="G184" s="16"/>
      <c r="H184" s="16"/>
      <c r="I184" s="16"/>
      <c r="J184" s="16"/>
      <c r="K184" s="16"/>
      <c r="L184" s="16"/>
      <c r="M184" s="16"/>
      <c r="N184" s="16"/>
      <c r="O184" s="16"/>
      <c r="P184" s="16"/>
      <c r="Q184" s="16"/>
    </row>
    <row r="185" spans="1:17" ht="15">
      <c r="A185" s="16"/>
      <c r="B185" s="16"/>
      <c r="C185" s="16"/>
      <c r="D185" s="16"/>
      <c r="E185" s="16"/>
      <c r="F185" s="16"/>
      <c r="G185" s="16"/>
      <c r="H185" s="16"/>
      <c r="I185" s="16"/>
      <c r="J185" s="16"/>
      <c r="K185" s="16"/>
      <c r="L185" s="16"/>
      <c r="M185" s="16"/>
      <c r="N185" s="16"/>
      <c r="O185" s="16"/>
      <c r="P185" s="16"/>
      <c r="Q185" s="16"/>
    </row>
    <row r="186" spans="1:17" ht="15">
      <c r="A186" s="16"/>
      <c r="B186" s="16"/>
      <c r="C186" s="16"/>
      <c r="D186" s="16"/>
      <c r="E186" s="16"/>
      <c r="F186" s="16"/>
      <c r="G186" s="16"/>
      <c r="H186" s="16"/>
      <c r="I186" s="16"/>
      <c r="J186" s="16"/>
      <c r="K186" s="16"/>
      <c r="L186" s="16"/>
      <c r="M186" s="16"/>
      <c r="N186" s="16"/>
      <c r="O186" s="16"/>
      <c r="P186" s="16"/>
      <c r="Q186" s="16"/>
    </row>
    <row r="187" spans="1:17" ht="15">
      <c r="A187" s="16"/>
      <c r="B187" s="16"/>
      <c r="C187" s="16"/>
      <c r="D187" s="16"/>
      <c r="E187" s="16"/>
      <c r="F187" s="16"/>
      <c r="G187" s="16"/>
      <c r="H187" s="16"/>
      <c r="I187" s="16"/>
      <c r="J187" s="16"/>
      <c r="K187" s="16"/>
      <c r="L187" s="16"/>
      <c r="M187" s="16"/>
      <c r="N187" s="16"/>
      <c r="O187" s="16"/>
      <c r="P187" s="16"/>
      <c r="Q187" s="16"/>
    </row>
    <row r="188" spans="1:17" ht="15">
      <c r="A188" s="16"/>
      <c r="B188" s="16"/>
      <c r="C188" s="16"/>
      <c r="D188" s="16"/>
      <c r="E188" s="16"/>
      <c r="F188" s="16"/>
      <c r="G188" s="16"/>
      <c r="H188" s="16"/>
      <c r="I188" s="16"/>
      <c r="J188" s="16"/>
      <c r="K188" s="16"/>
      <c r="L188" s="16"/>
      <c r="M188" s="16"/>
      <c r="N188" s="16"/>
      <c r="O188" s="16"/>
      <c r="P188" s="16"/>
      <c r="Q188" s="16"/>
    </row>
    <row r="189" spans="1:17" ht="15">
      <c r="A189" s="16"/>
      <c r="B189" s="16"/>
      <c r="C189" s="16"/>
      <c r="D189" s="16"/>
      <c r="E189" s="16"/>
      <c r="F189" s="16"/>
      <c r="G189" s="16"/>
      <c r="H189" s="16"/>
      <c r="I189" s="16"/>
      <c r="J189" s="16"/>
      <c r="K189" s="16"/>
      <c r="L189" s="16"/>
      <c r="M189" s="16"/>
      <c r="N189" s="16"/>
      <c r="O189" s="16"/>
      <c r="P189" s="16"/>
      <c r="Q189" s="16"/>
    </row>
    <row r="190" spans="1:17" ht="15">
      <c r="A190" s="16"/>
      <c r="B190" s="16"/>
      <c r="C190" s="16"/>
      <c r="D190" s="16"/>
      <c r="E190" s="16"/>
      <c r="F190" s="16"/>
      <c r="G190" s="16"/>
      <c r="H190" s="16"/>
      <c r="I190" s="16"/>
      <c r="J190" s="16"/>
      <c r="K190" s="16"/>
      <c r="L190" s="16"/>
      <c r="M190" s="16"/>
      <c r="N190" s="16"/>
      <c r="O190" s="16"/>
      <c r="P190" s="16"/>
      <c r="Q190" s="16"/>
    </row>
    <row r="191" spans="1:17" ht="15">
      <c r="A191" s="16"/>
      <c r="B191" s="16"/>
      <c r="C191" s="16"/>
      <c r="D191" s="16"/>
      <c r="E191" s="16"/>
      <c r="F191" s="16"/>
      <c r="G191" s="16"/>
      <c r="H191" s="16"/>
      <c r="I191" s="16"/>
      <c r="J191" s="16"/>
      <c r="K191" s="16"/>
      <c r="L191" s="16"/>
      <c r="M191" s="16"/>
      <c r="N191" s="16"/>
      <c r="O191" s="16"/>
      <c r="P191" s="16"/>
      <c r="Q191" s="16"/>
    </row>
    <row r="192" spans="1:17" ht="15">
      <c r="A192" s="16"/>
      <c r="B192" s="16"/>
      <c r="C192" s="16"/>
      <c r="D192" s="16"/>
      <c r="E192" s="16"/>
      <c r="F192" s="16"/>
      <c r="G192" s="16"/>
      <c r="H192" s="16"/>
      <c r="I192" s="16"/>
      <c r="J192" s="16"/>
      <c r="K192" s="16"/>
      <c r="L192" s="16"/>
      <c r="M192" s="16"/>
      <c r="N192" s="16"/>
      <c r="O192" s="16"/>
      <c r="P192" s="16"/>
      <c r="Q192" s="16"/>
    </row>
    <row r="193" spans="1:17" ht="15">
      <c r="A193" s="16"/>
      <c r="B193" s="16"/>
      <c r="C193" s="16"/>
      <c r="D193" s="16"/>
      <c r="E193" s="16"/>
      <c r="F193" s="16"/>
      <c r="G193" s="16"/>
      <c r="H193" s="16"/>
      <c r="I193" s="16"/>
      <c r="J193" s="16"/>
      <c r="K193" s="16"/>
      <c r="L193" s="16"/>
      <c r="M193" s="16"/>
      <c r="N193" s="16"/>
      <c r="O193" s="16"/>
      <c r="P193" s="16"/>
      <c r="Q193" s="16"/>
    </row>
    <row r="194" spans="1:17" ht="15">
      <c r="A194" s="16"/>
      <c r="B194" s="16"/>
      <c r="C194" s="16"/>
      <c r="D194" s="16"/>
      <c r="E194" s="16"/>
      <c r="F194" s="16"/>
      <c r="G194" s="16"/>
      <c r="H194" s="16"/>
      <c r="I194" s="16"/>
      <c r="J194" s="16"/>
      <c r="K194" s="16"/>
      <c r="L194" s="16"/>
      <c r="M194" s="16"/>
      <c r="N194" s="16"/>
      <c r="O194" s="16"/>
      <c r="P194" s="16"/>
      <c r="Q194" s="16"/>
    </row>
    <row r="195" spans="1:17" ht="15">
      <c r="A195" s="16"/>
      <c r="B195" s="16"/>
      <c r="C195" s="16"/>
      <c r="D195" s="16"/>
      <c r="E195" s="16"/>
      <c r="F195" s="16"/>
      <c r="G195" s="16"/>
      <c r="H195" s="16"/>
      <c r="I195" s="16"/>
      <c r="J195" s="16"/>
      <c r="K195" s="16"/>
      <c r="L195" s="16"/>
      <c r="M195" s="16"/>
      <c r="N195" s="16"/>
      <c r="O195" s="16"/>
      <c r="P195" s="16"/>
      <c r="Q195" s="16"/>
    </row>
    <row r="196" spans="1:17" ht="15">
      <c r="A196" s="16"/>
      <c r="B196" s="16"/>
      <c r="C196" s="16"/>
      <c r="D196" s="16"/>
      <c r="E196" s="16"/>
      <c r="F196" s="16"/>
      <c r="G196" s="16"/>
      <c r="H196" s="16"/>
      <c r="I196" s="16"/>
      <c r="J196" s="16"/>
      <c r="K196" s="16"/>
      <c r="L196" s="16"/>
      <c r="M196" s="16"/>
      <c r="N196" s="16"/>
      <c r="O196" s="16"/>
      <c r="P196" s="16"/>
      <c r="Q196" s="16"/>
    </row>
    <row r="197" spans="1:17" ht="15">
      <c r="A197" s="16"/>
      <c r="B197" s="16"/>
      <c r="C197" s="16"/>
      <c r="D197" s="16"/>
      <c r="E197" s="16"/>
      <c r="F197" s="16"/>
      <c r="G197" s="16"/>
      <c r="H197" s="16"/>
      <c r="I197" s="16"/>
      <c r="J197" s="16"/>
      <c r="K197" s="16"/>
      <c r="L197" s="16"/>
      <c r="M197" s="16"/>
      <c r="N197" s="16"/>
      <c r="O197" s="16"/>
      <c r="P197" s="16"/>
      <c r="Q197" s="16"/>
    </row>
    <row r="198" spans="1:17" ht="15">
      <c r="A198" s="16"/>
      <c r="B198" s="16"/>
      <c r="C198" s="16"/>
      <c r="D198" s="16"/>
      <c r="E198" s="16"/>
      <c r="F198" s="16"/>
      <c r="G198" s="16"/>
      <c r="H198" s="16"/>
      <c r="I198" s="16"/>
      <c r="J198" s="16"/>
      <c r="K198" s="16"/>
      <c r="L198" s="16"/>
      <c r="M198" s="16"/>
      <c r="N198" s="16"/>
      <c r="O198" s="16"/>
      <c r="P198" s="16"/>
      <c r="Q198" s="16"/>
    </row>
    <row r="199" spans="1:17" ht="15">
      <c r="A199" s="16"/>
      <c r="B199" s="16"/>
      <c r="C199" s="16"/>
      <c r="D199" s="16"/>
      <c r="E199" s="16"/>
      <c r="F199" s="16"/>
      <c r="G199" s="16"/>
      <c r="H199" s="16"/>
      <c r="I199" s="16"/>
      <c r="J199" s="16"/>
      <c r="K199" s="16"/>
      <c r="L199" s="16"/>
      <c r="M199" s="16"/>
      <c r="N199" s="16"/>
      <c r="O199" s="16"/>
      <c r="P199" s="16"/>
      <c r="Q199" s="16"/>
    </row>
    <row r="200" spans="1:17" ht="15">
      <c r="A200" s="16"/>
      <c r="B200" s="16"/>
      <c r="C200" s="16"/>
      <c r="D200" s="16"/>
      <c r="E200" s="16"/>
      <c r="F200" s="16"/>
      <c r="G200" s="16"/>
      <c r="H200" s="16"/>
      <c r="I200" s="16"/>
      <c r="J200" s="16"/>
      <c r="K200" s="16"/>
      <c r="L200" s="16"/>
      <c r="M200" s="16"/>
      <c r="N200" s="16"/>
      <c r="O200" s="16"/>
      <c r="P200" s="16"/>
      <c r="Q200" s="16"/>
    </row>
    <row r="201" spans="1:17" ht="15">
      <c r="A201" s="16"/>
      <c r="B201" s="16"/>
      <c r="C201" s="16"/>
      <c r="D201" s="16"/>
      <c r="E201" s="16"/>
      <c r="F201" s="16"/>
      <c r="G201" s="16"/>
      <c r="H201" s="16"/>
      <c r="I201" s="16"/>
      <c r="J201" s="16"/>
      <c r="K201" s="16"/>
      <c r="L201" s="16"/>
      <c r="M201" s="16"/>
      <c r="N201" s="16"/>
      <c r="O201" s="16"/>
      <c r="P201" s="16"/>
      <c r="Q201" s="16"/>
    </row>
    <row r="202" spans="1:17" ht="15">
      <c r="A202" s="16"/>
      <c r="B202" s="16"/>
      <c r="C202" s="16"/>
      <c r="D202" s="16"/>
      <c r="E202" s="16"/>
      <c r="F202" s="16"/>
      <c r="G202" s="16"/>
      <c r="H202" s="16"/>
      <c r="I202" s="16"/>
      <c r="J202" s="16"/>
      <c r="K202" s="16"/>
      <c r="L202" s="16"/>
      <c r="M202" s="16"/>
      <c r="N202" s="16"/>
      <c r="O202" s="16"/>
      <c r="P202" s="16"/>
      <c r="Q202" s="16"/>
    </row>
    <row r="203" spans="1:17" ht="15">
      <c r="A203" s="16"/>
      <c r="B203" s="16"/>
      <c r="C203" s="16"/>
      <c r="D203" s="16"/>
      <c r="E203" s="16"/>
      <c r="F203" s="16"/>
      <c r="G203" s="16"/>
      <c r="H203" s="16"/>
      <c r="I203" s="16"/>
      <c r="J203" s="16"/>
      <c r="K203" s="16"/>
      <c r="L203" s="16"/>
      <c r="M203" s="16"/>
      <c r="N203" s="16"/>
      <c r="O203" s="16"/>
      <c r="P203" s="16"/>
      <c r="Q203" s="16"/>
    </row>
    <row r="204" spans="1:17" ht="15">
      <c r="A204" s="16"/>
      <c r="B204" s="16"/>
      <c r="C204" s="16"/>
      <c r="D204" s="16"/>
      <c r="E204" s="16"/>
      <c r="F204" s="16"/>
      <c r="G204" s="16"/>
      <c r="H204" s="16"/>
      <c r="I204" s="16"/>
      <c r="J204" s="16"/>
      <c r="K204" s="16"/>
      <c r="L204" s="16"/>
      <c r="M204" s="16"/>
      <c r="N204" s="16"/>
      <c r="O204" s="16"/>
      <c r="P204" s="16"/>
      <c r="Q204" s="16"/>
    </row>
    <row r="205" spans="1:17" ht="15">
      <c r="A205" s="16"/>
      <c r="B205" s="16"/>
      <c r="C205" s="16"/>
      <c r="D205" s="16"/>
      <c r="E205" s="16"/>
      <c r="F205" s="16"/>
      <c r="G205" s="16"/>
      <c r="H205" s="16"/>
      <c r="I205" s="16"/>
      <c r="J205" s="16"/>
      <c r="K205" s="16"/>
      <c r="L205" s="16"/>
      <c r="M205" s="16"/>
      <c r="N205" s="16"/>
      <c r="O205" s="16"/>
      <c r="P205" s="16"/>
      <c r="Q205" s="16"/>
    </row>
    <row r="206" spans="1:17" ht="15">
      <c r="A206" s="16"/>
      <c r="B206" s="16"/>
      <c r="C206" s="16"/>
      <c r="D206" s="16"/>
      <c r="E206" s="16"/>
      <c r="F206" s="16"/>
      <c r="G206" s="16"/>
      <c r="H206" s="16"/>
      <c r="I206" s="16"/>
      <c r="J206" s="16"/>
      <c r="K206" s="16"/>
      <c r="L206" s="16"/>
      <c r="M206" s="16"/>
      <c r="N206" s="16"/>
      <c r="O206" s="16"/>
      <c r="P206" s="16"/>
      <c r="Q206" s="16"/>
    </row>
    <row r="207" spans="1:17" ht="15">
      <c r="A207" s="16"/>
      <c r="B207" s="16"/>
      <c r="C207" s="16"/>
      <c r="D207" s="16"/>
      <c r="E207" s="16"/>
      <c r="F207" s="16"/>
      <c r="G207" s="16"/>
      <c r="H207" s="16"/>
      <c r="I207" s="16"/>
      <c r="J207" s="16"/>
      <c r="K207" s="16"/>
      <c r="L207" s="16"/>
      <c r="M207" s="16"/>
      <c r="N207" s="16"/>
      <c r="O207" s="16"/>
      <c r="P207" s="16"/>
      <c r="Q207" s="16"/>
    </row>
    <row r="208" spans="1:17" ht="15">
      <c r="A208" s="16"/>
      <c r="B208" s="16"/>
      <c r="C208" s="16"/>
      <c r="D208" s="16"/>
      <c r="E208" s="16"/>
      <c r="F208" s="16"/>
      <c r="G208" s="16"/>
      <c r="H208" s="16"/>
      <c r="I208" s="16"/>
      <c r="J208" s="16"/>
      <c r="K208" s="16"/>
      <c r="L208" s="16"/>
      <c r="M208" s="16"/>
      <c r="N208" s="16"/>
      <c r="O208" s="16"/>
      <c r="P208" s="16"/>
      <c r="Q208" s="16"/>
    </row>
    <row r="209" spans="1:17" ht="15">
      <c r="A209" s="16"/>
      <c r="B209" s="16"/>
      <c r="C209" s="16"/>
      <c r="D209" s="16"/>
      <c r="E209" s="16"/>
      <c r="F209" s="16"/>
      <c r="G209" s="16"/>
      <c r="H209" s="16"/>
      <c r="I209" s="16"/>
      <c r="J209" s="16"/>
      <c r="K209" s="16"/>
      <c r="L209" s="16"/>
      <c r="M209" s="16"/>
      <c r="N209" s="16"/>
      <c r="O209" s="16"/>
      <c r="P209" s="16"/>
      <c r="Q209" s="16"/>
    </row>
    <row r="210" spans="1:17" ht="15">
      <c r="A210" s="16"/>
      <c r="B210" s="16"/>
      <c r="C210" s="16"/>
      <c r="D210" s="16"/>
      <c r="E210" s="16"/>
      <c r="F210" s="16"/>
      <c r="G210" s="16"/>
      <c r="H210" s="16"/>
      <c r="I210" s="16"/>
      <c r="J210" s="16"/>
      <c r="K210" s="16"/>
      <c r="L210" s="16"/>
      <c r="M210" s="16"/>
      <c r="N210" s="16"/>
      <c r="O210" s="16"/>
      <c r="P210" s="16"/>
      <c r="Q210" s="16"/>
    </row>
    <row r="211" spans="1:17" ht="15">
      <c r="A211" s="16"/>
      <c r="B211" s="16"/>
      <c r="C211" s="16"/>
      <c r="D211" s="16"/>
      <c r="E211" s="16"/>
      <c r="F211" s="16"/>
      <c r="G211" s="16"/>
      <c r="H211" s="16"/>
      <c r="I211" s="16"/>
      <c r="J211" s="16"/>
      <c r="K211" s="16"/>
      <c r="L211" s="16"/>
      <c r="M211" s="16"/>
      <c r="N211" s="16"/>
      <c r="O211" s="16"/>
      <c r="P211" s="16"/>
      <c r="Q211" s="16"/>
    </row>
    <row r="212" spans="1:17" ht="15">
      <c r="A212" s="16"/>
      <c r="B212" s="16"/>
      <c r="C212" s="16"/>
      <c r="D212" s="16"/>
      <c r="E212" s="16"/>
      <c r="F212" s="16"/>
      <c r="G212" s="16"/>
      <c r="H212" s="16"/>
      <c r="I212" s="16"/>
      <c r="J212" s="16"/>
      <c r="K212" s="16"/>
      <c r="L212" s="16"/>
      <c r="M212" s="16"/>
      <c r="N212" s="16"/>
      <c r="O212" s="16"/>
      <c r="P212" s="16"/>
      <c r="Q212" s="16"/>
    </row>
    <row r="213" spans="1:17" ht="15">
      <c r="A213" s="16"/>
      <c r="B213" s="16"/>
      <c r="C213" s="16"/>
      <c r="D213" s="16"/>
      <c r="E213" s="16"/>
      <c r="F213" s="16"/>
      <c r="G213" s="16"/>
      <c r="H213" s="16"/>
      <c r="I213" s="16"/>
      <c r="J213" s="16"/>
      <c r="K213" s="16"/>
      <c r="L213" s="16"/>
      <c r="M213" s="16"/>
      <c r="N213" s="16"/>
      <c r="O213" s="16"/>
      <c r="P213" s="16"/>
      <c r="Q213" s="16"/>
    </row>
    <row r="214" spans="1:17" ht="15">
      <c r="A214" s="16"/>
      <c r="B214" s="16"/>
      <c r="C214" s="16"/>
      <c r="D214" s="16"/>
      <c r="E214" s="16"/>
      <c r="F214" s="16"/>
      <c r="G214" s="16"/>
      <c r="H214" s="16"/>
      <c r="I214" s="16"/>
      <c r="J214" s="16"/>
      <c r="K214" s="16"/>
      <c r="L214" s="16"/>
      <c r="M214" s="16"/>
      <c r="N214" s="16"/>
      <c r="O214" s="16"/>
      <c r="P214" s="16"/>
      <c r="Q214" s="16"/>
    </row>
    <row r="215" spans="1:17" ht="15">
      <c r="A215" s="16"/>
      <c r="B215" s="16"/>
      <c r="C215" s="16"/>
      <c r="D215" s="16"/>
      <c r="E215" s="16"/>
      <c r="F215" s="16"/>
      <c r="G215" s="16"/>
      <c r="H215" s="16"/>
      <c r="I215" s="16"/>
      <c r="J215" s="16"/>
      <c r="K215" s="16"/>
      <c r="L215" s="16"/>
      <c r="M215" s="16"/>
      <c r="N215" s="16"/>
      <c r="O215" s="16"/>
      <c r="P215" s="16"/>
      <c r="Q215" s="16"/>
    </row>
    <row r="216" spans="1:17" ht="15">
      <c r="A216" s="16"/>
      <c r="B216" s="16"/>
      <c r="C216" s="16"/>
      <c r="D216" s="16"/>
      <c r="E216" s="16"/>
      <c r="F216" s="16"/>
      <c r="G216" s="16"/>
      <c r="H216" s="16"/>
      <c r="I216" s="16"/>
      <c r="J216" s="16"/>
      <c r="K216" s="16"/>
      <c r="L216" s="16"/>
      <c r="M216" s="16"/>
      <c r="N216" s="16"/>
      <c r="O216" s="16"/>
      <c r="P216" s="16"/>
      <c r="Q216" s="16"/>
    </row>
    <row r="217" spans="1:17" ht="15">
      <c r="A217" s="16"/>
      <c r="B217" s="16"/>
      <c r="C217" s="16"/>
      <c r="D217" s="16"/>
      <c r="E217" s="16"/>
      <c r="F217" s="16"/>
      <c r="G217" s="16"/>
      <c r="H217" s="16"/>
      <c r="I217" s="16"/>
      <c r="J217" s="16"/>
      <c r="K217" s="16"/>
      <c r="L217" s="16"/>
      <c r="M217" s="16"/>
      <c r="N217" s="16"/>
      <c r="O217" s="16"/>
      <c r="P217" s="16"/>
      <c r="Q217" s="16"/>
    </row>
    <row r="218" spans="1:17" ht="15">
      <c r="A218" s="16"/>
      <c r="B218" s="16"/>
      <c r="C218" s="16"/>
      <c r="D218" s="16"/>
      <c r="E218" s="16"/>
      <c r="F218" s="16"/>
      <c r="G218" s="16"/>
      <c r="H218" s="16"/>
      <c r="I218" s="16"/>
      <c r="J218" s="16"/>
      <c r="K218" s="16"/>
      <c r="L218" s="16"/>
      <c r="M218" s="16"/>
      <c r="N218" s="16"/>
      <c r="O218" s="16"/>
      <c r="P218" s="16"/>
      <c r="Q218" s="16"/>
    </row>
    <row r="219" spans="1:17" ht="15">
      <c r="A219" s="16"/>
      <c r="B219" s="16"/>
      <c r="C219" s="16"/>
      <c r="D219" s="16"/>
      <c r="E219" s="16"/>
      <c r="F219" s="16"/>
      <c r="G219" s="16"/>
      <c r="H219" s="16"/>
      <c r="I219" s="16"/>
      <c r="J219" s="16"/>
      <c r="K219" s="16"/>
      <c r="L219" s="16"/>
      <c r="M219" s="16"/>
      <c r="N219" s="16"/>
      <c r="O219" s="16"/>
      <c r="P219" s="16"/>
      <c r="Q219" s="16"/>
    </row>
    <row r="220" spans="1:17" ht="15">
      <c r="A220" s="16"/>
      <c r="B220" s="16"/>
      <c r="C220" s="16"/>
      <c r="D220" s="16"/>
      <c r="E220" s="16"/>
      <c r="F220" s="16"/>
      <c r="G220" s="16"/>
      <c r="H220" s="16"/>
      <c r="I220" s="16"/>
      <c r="J220" s="16"/>
      <c r="K220" s="16"/>
      <c r="L220" s="16"/>
      <c r="M220" s="16"/>
      <c r="N220" s="16"/>
      <c r="O220" s="16"/>
      <c r="P220" s="16"/>
      <c r="Q220" s="16"/>
    </row>
    <row r="221" spans="1:17" ht="15">
      <c r="A221" s="16"/>
      <c r="B221" s="16"/>
      <c r="C221" s="16"/>
      <c r="D221" s="16"/>
      <c r="E221" s="16"/>
      <c r="F221" s="16"/>
      <c r="G221" s="16"/>
      <c r="H221" s="16"/>
      <c r="I221" s="16"/>
      <c r="J221" s="16"/>
      <c r="K221" s="16"/>
      <c r="L221" s="16"/>
      <c r="M221" s="16"/>
      <c r="N221" s="16"/>
      <c r="O221" s="16"/>
      <c r="P221" s="16"/>
      <c r="Q221" s="16"/>
    </row>
    <row r="222" spans="1:17" ht="15">
      <c r="A222" s="16"/>
      <c r="B222" s="16"/>
      <c r="C222" s="16"/>
      <c r="D222" s="16"/>
      <c r="E222" s="16"/>
      <c r="F222" s="16"/>
      <c r="G222" s="16"/>
      <c r="H222" s="16"/>
      <c r="I222" s="16"/>
      <c r="J222" s="16"/>
      <c r="K222" s="16"/>
      <c r="L222" s="16"/>
      <c r="M222" s="16"/>
      <c r="N222" s="16"/>
      <c r="O222" s="16"/>
      <c r="P222" s="16"/>
      <c r="Q222" s="16"/>
    </row>
    <row r="223" spans="1:17" ht="15">
      <c r="A223" s="16"/>
      <c r="B223" s="16"/>
      <c r="C223" s="16"/>
      <c r="D223" s="16"/>
      <c r="E223" s="16"/>
      <c r="F223" s="16"/>
      <c r="G223" s="16"/>
      <c r="H223" s="16"/>
      <c r="I223" s="16"/>
      <c r="J223" s="16"/>
      <c r="K223" s="16"/>
      <c r="L223" s="16"/>
      <c r="M223" s="16"/>
      <c r="N223" s="16"/>
      <c r="O223" s="16"/>
      <c r="P223" s="16"/>
      <c r="Q223" s="16"/>
    </row>
    <row r="224" spans="1:17" ht="15">
      <c r="A224" s="16"/>
      <c r="B224" s="16"/>
      <c r="C224" s="16"/>
      <c r="D224" s="16"/>
      <c r="E224" s="16"/>
      <c r="F224" s="16"/>
      <c r="G224" s="16"/>
      <c r="H224" s="16"/>
      <c r="I224" s="16"/>
      <c r="J224" s="16"/>
      <c r="K224" s="16"/>
      <c r="L224" s="16"/>
      <c r="M224" s="16"/>
      <c r="N224" s="16"/>
      <c r="O224" s="16"/>
      <c r="P224" s="16"/>
      <c r="Q224" s="16"/>
    </row>
    <row r="225" spans="1:17" ht="15">
      <c r="A225" s="16"/>
      <c r="B225" s="16"/>
      <c r="C225" s="16"/>
      <c r="D225" s="16"/>
      <c r="E225" s="16"/>
      <c r="F225" s="16"/>
      <c r="G225" s="16"/>
      <c r="H225" s="16"/>
      <c r="I225" s="16"/>
      <c r="J225" s="16"/>
      <c r="K225" s="16"/>
      <c r="L225" s="16"/>
      <c r="M225" s="16"/>
      <c r="N225" s="16"/>
      <c r="O225" s="16"/>
      <c r="P225" s="16"/>
      <c r="Q225" s="16"/>
    </row>
    <row r="226" spans="1:17" ht="15">
      <c r="A226" s="16"/>
      <c r="B226" s="16"/>
      <c r="C226" s="16"/>
      <c r="D226" s="16"/>
      <c r="E226" s="16"/>
      <c r="F226" s="16"/>
      <c r="G226" s="16"/>
      <c r="H226" s="16"/>
      <c r="I226" s="16"/>
      <c r="J226" s="16"/>
      <c r="K226" s="16"/>
      <c r="L226" s="16"/>
      <c r="M226" s="16"/>
      <c r="N226" s="16"/>
      <c r="O226" s="16"/>
      <c r="P226" s="16"/>
      <c r="Q226" s="16"/>
    </row>
    <row r="227" spans="1:17" ht="15">
      <c r="A227" s="16"/>
      <c r="B227" s="16"/>
      <c r="C227" s="16"/>
      <c r="D227" s="16"/>
      <c r="E227" s="16"/>
      <c r="F227" s="16"/>
      <c r="G227" s="16"/>
      <c r="H227" s="16"/>
      <c r="I227" s="16"/>
      <c r="J227" s="16"/>
      <c r="K227" s="16"/>
      <c r="L227" s="16"/>
      <c r="M227" s="16"/>
      <c r="N227" s="16"/>
      <c r="O227" s="16"/>
      <c r="P227" s="16"/>
      <c r="Q227" s="16"/>
    </row>
    <row r="228" spans="1:17" ht="15">
      <c r="A228" s="16"/>
      <c r="B228" s="16"/>
      <c r="C228" s="16"/>
      <c r="D228" s="16"/>
      <c r="E228" s="16"/>
      <c r="F228" s="16"/>
      <c r="G228" s="16"/>
      <c r="H228" s="16"/>
      <c r="I228" s="16"/>
      <c r="J228" s="16"/>
      <c r="K228" s="16"/>
      <c r="L228" s="16"/>
      <c r="M228" s="16"/>
      <c r="N228" s="16"/>
      <c r="O228" s="16"/>
      <c r="P228" s="16"/>
      <c r="Q228" s="16"/>
    </row>
    <row r="229" spans="1:17" ht="15">
      <c r="A229" s="16"/>
      <c r="B229" s="16"/>
      <c r="C229" s="16"/>
      <c r="D229" s="16"/>
      <c r="E229" s="16"/>
      <c r="F229" s="16"/>
      <c r="G229" s="16"/>
      <c r="H229" s="16"/>
      <c r="I229" s="16"/>
      <c r="J229" s="16"/>
      <c r="K229" s="16"/>
      <c r="L229" s="16"/>
      <c r="M229" s="16"/>
      <c r="N229" s="16"/>
      <c r="O229" s="16"/>
      <c r="P229" s="16"/>
      <c r="Q229" s="16"/>
    </row>
    <row r="230" spans="1:17" ht="15">
      <c r="A230" s="16"/>
      <c r="B230" s="16"/>
      <c r="C230" s="16"/>
      <c r="D230" s="16"/>
      <c r="E230" s="16"/>
      <c r="F230" s="16"/>
      <c r="G230" s="16"/>
      <c r="H230" s="16"/>
      <c r="I230" s="16"/>
      <c r="J230" s="16"/>
      <c r="K230" s="16"/>
      <c r="L230" s="16"/>
      <c r="M230" s="16"/>
      <c r="N230" s="16"/>
      <c r="O230" s="16"/>
      <c r="P230" s="16"/>
      <c r="Q230" s="16"/>
    </row>
    <row r="231" spans="1:17" ht="15">
      <c r="A231" s="16"/>
      <c r="B231" s="16"/>
      <c r="C231" s="16"/>
      <c r="D231" s="16"/>
      <c r="E231" s="16"/>
      <c r="F231" s="16"/>
      <c r="G231" s="16"/>
      <c r="H231" s="16"/>
      <c r="I231" s="16"/>
      <c r="J231" s="16"/>
      <c r="K231" s="16"/>
      <c r="L231" s="16"/>
      <c r="M231" s="16"/>
      <c r="N231" s="16"/>
      <c r="O231" s="16"/>
      <c r="P231" s="16"/>
      <c r="Q231" s="16"/>
    </row>
    <row r="232" spans="1:17" ht="15">
      <c r="A232" s="16"/>
      <c r="B232" s="16"/>
      <c r="C232" s="16"/>
      <c r="D232" s="16"/>
      <c r="E232" s="16"/>
      <c r="F232" s="16"/>
      <c r="G232" s="16"/>
      <c r="H232" s="16"/>
      <c r="I232" s="16"/>
      <c r="J232" s="16"/>
      <c r="K232" s="16"/>
      <c r="L232" s="16"/>
      <c r="M232" s="16"/>
      <c r="N232" s="16"/>
      <c r="O232" s="16"/>
      <c r="P232" s="16"/>
      <c r="Q232" s="16"/>
    </row>
    <row r="233" spans="1:17" ht="15">
      <c r="A233" s="16"/>
      <c r="B233" s="16"/>
      <c r="C233" s="16"/>
      <c r="D233" s="16"/>
      <c r="E233" s="16"/>
      <c r="F233" s="16"/>
      <c r="G233" s="16"/>
      <c r="H233" s="16"/>
      <c r="I233" s="16"/>
      <c r="J233" s="16"/>
      <c r="K233" s="16"/>
      <c r="L233" s="16"/>
      <c r="M233" s="16"/>
      <c r="N233" s="16"/>
      <c r="O233" s="16"/>
      <c r="P233" s="16"/>
      <c r="Q233" s="16"/>
    </row>
    <row r="234" spans="1:17" ht="15">
      <c r="A234" s="16"/>
      <c r="B234" s="16"/>
      <c r="C234" s="16"/>
      <c r="D234" s="16"/>
      <c r="E234" s="16"/>
      <c r="F234" s="16"/>
      <c r="G234" s="16"/>
      <c r="H234" s="16"/>
      <c r="I234" s="16"/>
      <c r="J234" s="16"/>
      <c r="K234" s="16"/>
      <c r="L234" s="16"/>
      <c r="M234" s="16"/>
      <c r="N234" s="16"/>
      <c r="O234" s="16"/>
      <c r="P234" s="16"/>
      <c r="Q234" s="16"/>
    </row>
    <row r="235" spans="1:17" ht="15">
      <c r="A235" s="16"/>
      <c r="B235" s="16"/>
      <c r="C235" s="16"/>
      <c r="D235" s="16"/>
      <c r="E235" s="16"/>
      <c r="F235" s="16"/>
      <c r="G235" s="16"/>
      <c r="H235" s="16"/>
      <c r="I235" s="16"/>
      <c r="J235" s="16"/>
      <c r="K235" s="16"/>
      <c r="L235" s="16"/>
      <c r="M235" s="16"/>
      <c r="N235" s="16"/>
      <c r="O235" s="16"/>
      <c r="P235" s="16"/>
      <c r="Q235" s="16"/>
    </row>
    <row r="236" spans="10:17" ht="15">
      <c r="J236" s="16"/>
      <c r="K236" s="16"/>
      <c r="L236" s="16"/>
      <c r="M236" s="16"/>
      <c r="N236" s="16"/>
      <c r="O236" s="16"/>
      <c r="P236" s="16"/>
      <c r="Q236" s="16"/>
    </row>
  </sheetData>
  <sheetProtection/>
  <mergeCells count="7">
    <mergeCell ref="A27:I27"/>
    <mergeCell ref="A1:I1"/>
    <mergeCell ref="B6:C6"/>
    <mergeCell ref="B7:C7"/>
    <mergeCell ref="A3:I3"/>
    <mergeCell ref="A5:I5"/>
    <mergeCell ref="A25:I2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T59"/>
  <sheetViews>
    <sheetView zoomScaleSheetLayoutView="100" zoomScalePageLayoutView="0" workbookViewId="0" topLeftCell="A3">
      <selection activeCell="Q56" sqref="Q56"/>
    </sheetView>
  </sheetViews>
  <sheetFormatPr defaultColWidth="8.7109375" defaultRowHeight="15"/>
  <cols>
    <col min="1" max="1" width="26.140625" style="6" customWidth="1"/>
    <col min="2" max="2" width="10.421875" style="6" bestFit="1" customWidth="1"/>
    <col min="3" max="3" width="8.7109375" style="6" customWidth="1"/>
    <col min="4" max="4" width="8.140625" style="6" customWidth="1"/>
    <col min="5" max="5" width="7.7109375" style="6" customWidth="1"/>
    <col min="6" max="6" width="9.421875" style="6" customWidth="1"/>
    <col min="7" max="7" width="7.7109375" style="6" customWidth="1"/>
    <col min="8" max="8" width="8.7109375" style="6" customWidth="1"/>
    <col min="9" max="9" width="7.28125" style="6" customWidth="1"/>
    <col min="10" max="19" width="8.7109375" style="6" customWidth="1"/>
    <col min="20" max="20" width="10.421875" style="6" bestFit="1" customWidth="1"/>
    <col min="21" max="16384" width="8.7109375" style="6" customWidth="1"/>
  </cols>
  <sheetData>
    <row r="1" spans="1:7" ht="18.75">
      <c r="A1" s="126" t="s">
        <v>92</v>
      </c>
      <c r="B1" s="126"/>
      <c r="C1" s="126"/>
      <c r="D1" s="126"/>
      <c r="E1" s="126"/>
      <c r="F1" s="126"/>
      <c r="G1" s="126"/>
    </row>
    <row r="2" spans="1:8" ht="120.75" customHeight="1">
      <c r="A2" s="129" t="s">
        <v>52</v>
      </c>
      <c r="B2" s="129"/>
      <c r="C2" s="129"/>
      <c r="D2" s="129"/>
      <c r="E2" s="129"/>
      <c r="F2" s="129"/>
      <c r="G2" s="129"/>
      <c r="H2" s="61"/>
    </row>
    <row r="3" spans="1:8" ht="40.5" customHeight="1">
      <c r="A3" s="130" t="str">
        <f>"Based on  "&amp;TEXT(No_Machines,"###")&amp;" vending machine operating "&amp;TEXT(hours_day,"###")&amp;" hours per day and "&amp;TEXT(hours_year,"###")&amp;" days per year and a retrofit cost of $"&amp;TEXT('Projected Savings'!C15,"###")&amp;" per unit, your savings are as follows:"</f>
        <v>Based on  1 vending machine operating 24 hours per day and 365 days per year and a retrofit cost of $216 per unit, your savings are as follows:</v>
      </c>
      <c r="B3" s="130"/>
      <c r="C3" s="130"/>
      <c r="D3" s="130"/>
      <c r="E3" s="130"/>
      <c r="F3" s="130"/>
      <c r="G3" s="130"/>
      <c r="H3" s="8"/>
    </row>
    <row r="4" spans="1:7" ht="15">
      <c r="A4" s="88" t="s">
        <v>72</v>
      </c>
      <c r="B4" s="67">
        <f>'Projected Savings'!C31</f>
        <v>0.46400866226046417</v>
      </c>
      <c r="D4" s="60"/>
      <c r="E4" s="60"/>
      <c r="F4" s="66"/>
      <c r="G4" s="66"/>
    </row>
    <row r="5" spans="1:7" ht="18" customHeight="1">
      <c r="A5" s="88" t="s">
        <v>35</v>
      </c>
      <c r="B5" s="67">
        <f>'Projected Savings'!C32</f>
        <v>0.5560652128361697</v>
      </c>
      <c r="D5" s="60"/>
      <c r="E5" s="60"/>
      <c r="F5" s="72"/>
      <c r="G5" s="66"/>
    </row>
    <row r="6" spans="1:20" ht="17.25" customHeight="1">
      <c r="A6" s="88" t="s">
        <v>37</v>
      </c>
      <c r="B6" s="67">
        <f>'Projected Savings'!C33</f>
        <v>0.56436646062536</v>
      </c>
      <c r="D6" s="60"/>
      <c r="E6" s="60"/>
      <c r="F6" s="66"/>
      <c r="G6" s="66"/>
      <c r="S6" s="127"/>
      <c r="T6" s="127"/>
    </row>
    <row r="7" spans="1:20" ht="15">
      <c r="A7" s="88" t="s">
        <v>28</v>
      </c>
      <c r="B7" s="73">
        <f>'Projected Savings'!C34</f>
        <v>1.6262741759613997</v>
      </c>
      <c r="D7" s="66"/>
      <c r="E7" s="66"/>
      <c r="F7" s="66"/>
      <c r="G7" s="66"/>
      <c r="S7" s="15"/>
      <c r="T7" s="74"/>
    </row>
    <row r="8" spans="1:20" ht="34.5" customHeight="1">
      <c r="A8" s="89" t="s">
        <v>120</v>
      </c>
      <c r="B8" s="70">
        <f>'Projected Savings'!C28</f>
        <v>1446.1151582615216</v>
      </c>
      <c r="E8" s="66"/>
      <c r="F8" s="66"/>
      <c r="G8" s="66"/>
      <c r="S8" s="14"/>
      <c r="T8" s="14"/>
    </row>
    <row r="9" spans="1:20" ht="30">
      <c r="A9" s="89" t="s">
        <v>121</v>
      </c>
      <c r="B9" s="70">
        <f>'Projected Savings'!C29</f>
        <v>1454.3554897774604</v>
      </c>
      <c r="E9" s="66"/>
      <c r="F9" s="66"/>
      <c r="G9" s="66"/>
      <c r="S9" s="14"/>
      <c r="T9" s="14"/>
    </row>
    <row r="10" spans="5:20" ht="18.75" customHeight="1">
      <c r="E10" s="66"/>
      <c r="F10" s="66"/>
      <c r="G10" s="66"/>
      <c r="S10" s="127"/>
      <c r="T10" s="128"/>
    </row>
    <row r="11" spans="1:20" ht="30">
      <c r="A11" s="66"/>
      <c r="B11" s="89" t="s">
        <v>23</v>
      </c>
      <c r="C11" s="89" t="s">
        <v>24</v>
      </c>
      <c r="D11" s="89" t="s">
        <v>26</v>
      </c>
      <c r="S11" s="15"/>
      <c r="T11" s="75"/>
    </row>
    <row r="12" spans="1:20" ht="15">
      <c r="A12" s="68" t="s">
        <v>25</v>
      </c>
      <c r="B12" s="70">
        <f>'Projected Savings'!H22</f>
        <v>253.37733546594308</v>
      </c>
      <c r="C12" s="70">
        <f>'Projected Savings'!M22</f>
        <v>793.5395809713455</v>
      </c>
      <c r="D12" s="70">
        <f>'Projected Savings'!Q22</f>
        <v>1454.3554897774604</v>
      </c>
      <c r="S12" s="15"/>
      <c r="T12" s="76"/>
    </row>
    <row r="13" spans="1:4" ht="18.75" customHeight="1">
      <c r="A13" s="69" t="s">
        <v>27</v>
      </c>
      <c r="B13" s="71">
        <f>'Projected Savings'!H41</f>
        <v>1934.2079999999996</v>
      </c>
      <c r="C13" s="71">
        <f>'Projected Savings'!M41</f>
        <v>3868.4159999999983</v>
      </c>
      <c r="D13" s="71">
        <f>'Projected Savings'!Q41</f>
        <v>5415.782399999997</v>
      </c>
    </row>
    <row r="41" spans="1:16" ht="15">
      <c r="A41" s="14"/>
      <c r="B41" s="90" t="s">
        <v>82</v>
      </c>
      <c r="C41" s="90" t="s">
        <v>83</v>
      </c>
      <c r="D41" s="90" t="s">
        <v>84</v>
      </c>
      <c r="E41" s="90" t="s">
        <v>85</v>
      </c>
      <c r="F41" s="90" t="s">
        <v>86</v>
      </c>
      <c r="G41" s="90" t="s">
        <v>87</v>
      </c>
      <c r="H41" s="90" t="s">
        <v>73</v>
      </c>
      <c r="I41" s="90" t="s">
        <v>74</v>
      </c>
      <c r="J41" s="90" t="s">
        <v>75</v>
      </c>
      <c r="K41" s="90" t="s">
        <v>76</v>
      </c>
      <c r="L41" s="90" t="s">
        <v>77</v>
      </c>
      <c r="M41" s="90" t="s">
        <v>78</v>
      </c>
      <c r="N41" s="90" t="s">
        <v>79</v>
      </c>
      <c r="O41" s="90" t="s">
        <v>80</v>
      </c>
      <c r="P41" s="90" t="s">
        <v>81</v>
      </c>
    </row>
    <row r="42" spans="1:16" ht="15">
      <c r="A42" s="12" t="s">
        <v>41</v>
      </c>
      <c r="B42" s="101">
        <f>'Projected Savings'!C21</f>
        <v>-215.545</v>
      </c>
      <c r="C42" s="101">
        <f>'Projected Savings'!D21</f>
        <v>131.526144</v>
      </c>
      <c r="D42" s="101">
        <f>'Projected Savings'!E21</f>
        <v>134.15666688000002</v>
      </c>
      <c r="E42" s="101">
        <f>'Projected Savings'!F21</f>
        <v>136.83980021760001</v>
      </c>
      <c r="F42" s="101">
        <f>'Projected Savings'!G21</f>
        <v>139.57659622195197</v>
      </c>
      <c r="G42" s="101">
        <f>'Projected Savings'!H21</f>
        <v>-73.17687185360893</v>
      </c>
      <c r="H42" s="101">
        <f>'Projected Savings'!I21</f>
        <v>145.21549070931889</v>
      </c>
      <c r="I42" s="101">
        <f>'Projected Savings'!J21</f>
        <v>148.11980052350523</v>
      </c>
      <c r="J42" s="101">
        <f>'Projected Savings'!K21</f>
        <v>151.08219653397535</v>
      </c>
      <c r="K42" s="101">
        <f>'Projected Savings'!L21</f>
        <v>154.1038404646549</v>
      </c>
      <c r="L42" s="101">
        <f>'Projected Savings'!M21</f>
        <v>-58.35908272605201</v>
      </c>
      <c r="M42" s="101">
        <f>'Projected Savings'!N21</f>
        <v>160.32963561942694</v>
      </c>
      <c r="N42" s="101">
        <f>'Projected Savings'!O21</f>
        <v>163.5362283318155</v>
      </c>
      <c r="O42" s="101">
        <f>'Projected Savings'!P21</f>
        <v>166.8069528984518</v>
      </c>
      <c r="P42" s="101">
        <f>'Projected Savings'!Q21</f>
        <v>170.14309195642082</v>
      </c>
    </row>
    <row r="43" spans="1:16" ht="15">
      <c r="A43" s="12" t="s">
        <v>42</v>
      </c>
      <c r="B43" s="102">
        <f>'Projected Savings'!C22</f>
        <v>-215.545</v>
      </c>
      <c r="C43" s="102">
        <f>'Projected Savings'!D22</f>
        <v>-84.018856</v>
      </c>
      <c r="D43" s="102">
        <f>'Projected Savings'!E22</f>
        <v>50.13781088000002</v>
      </c>
      <c r="E43" s="102">
        <f>'Projected Savings'!F22</f>
        <v>186.97761109760003</v>
      </c>
      <c r="F43" s="102">
        <f>'Projected Savings'!G22</f>
        <v>326.554207319552</v>
      </c>
      <c r="G43" s="102">
        <f>'Projected Savings'!H22</f>
        <v>253.37733546594308</v>
      </c>
      <c r="H43" s="102">
        <f>'Projected Savings'!I22</f>
        <v>398.59282617526196</v>
      </c>
      <c r="I43" s="102">
        <f>'Projected Savings'!J22</f>
        <v>546.7126266987672</v>
      </c>
      <c r="J43" s="102">
        <f>'Projected Savings'!K22</f>
        <v>697.7948232327425</v>
      </c>
      <c r="K43" s="102">
        <f>'Projected Savings'!L22</f>
        <v>851.8986636973974</v>
      </c>
      <c r="L43" s="102">
        <f>'Projected Savings'!M22</f>
        <v>793.5395809713455</v>
      </c>
      <c r="M43" s="102">
        <f>'Projected Savings'!N22</f>
        <v>953.8692165907723</v>
      </c>
      <c r="N43" s="102">
        <f>'Projected Savings'!O22</f>
        <v>1117.4054449225878</v>
      </c>
      <c r="O43" s="102">
        <f>'Projected Savings'!P22</f>
        <v>1284.2123978210395</v>
      </c>
      <c r="P43" s="102">
        <f>'Projected Savings'!Q22</f>
        <v>1454.3554897774604</v>
      </c>
    </row>
    <row r="44" spans="1:16" ht="18">
      <c r="A44" s="12" t="s">
        <v>29</v>
      </c>
      <c r="B44" s="102">
        <f>'Projected Savings'!C40</f>
        <v>0</v>
      </c>
      <c r="C44" s="102">
        <f>'Projected Savings'!D40</f>
        <v>386.8415999999999</v>
      </c>
      <c r="D44" s="102">
        <f>'Projected Savings'!E40</f>
        <v>386.8415999999999</v>
      </c>
      <c r="E44" s="102">
        <f>'Projected Savings'!F40</f>
        <v>386.8415999999999</v>
      </c>
      <c r="F44" s="102">
        <f>'Projected Savings'!G40</f>
        <v>386.8415999999999</v>
      </c>
      <c r="G44" s="102">
        <f>'Projected Savings'!H40</f>
        <v>386.8415999999999</v>
      </c>
      <c r="H44" s="102">
        <f>'Projected Savings'!I40</f>
        <v>386.8415999999999</v>
      </c>
      <c r="I44" s="102">
        <f>'Projected Savings'!J40</f>
        <v>386.8415999999999</v>
      </c>
      <c r="J44" s="102">
        <f>'Projected Savings'!K40</f>
        <v>386.8415999999999</v>
      </c>
      <c r="K44" s="102">
        <f>'Projected Savings'!L40</f>
        <v>386.8415999999999</v>
      </c>
      <c r="L44" s="102">
        <f>'Projected Savings'!M40</f>
        <v>386.8415999999999</v>
      </c>
      <c r="M44" s="102">
        <f>'Projected Savings'!N40</f>
        <v>386.8415999999999</v>
      </c>
      <c r="N44" s="102">
        <f>'Projected Savings'!O40</f>
        <v>386.8415999999999</v>
      </c>
      <c r="O44" s="102">
        <f>'Projected Savings'!P40</f>
        <v>386.8415999999999</v>
      </c>
      <c r="P44" s="102">
        <f>'Projected Savings'!Q40</f>
        <v>386.8415999999999</v>
      </c>
    </row>
    <row r="45" spans="1:16" ht="33">
      <c r="A45" s="13" t="s">
        <v>27</v>
      </c>
      <c r="B45" s="102">
        <f>'Projected Savings'!C41</f>
        <v>0</v>
      </c>
      <c r="C45" s="102">
        <f>'Projected Savings'!D41</f>
        <v>386.8415999999999</v>
      </c>
      <c r="D45" s="102">
        <f>'Projected Savings'!E41</f>
        <v>773.6831999999998</v>
      </c>
      <c r="E45" s="102">
        <f>'Projected Savings'!F41</f>
        <v>1160.5247999999997</v>
      </c>
      <c r="F45" s="102">
        <f>'Projected Savings'!G41</f>
        <v>1547.3663999999997</v>
      </c>
      <c r="G45" s="102">
        <f>'Projected Savings'!H41</f>
        <v>1934.2079999999996</v>
      </c>
      <c r="H45" s="102">
        <f>'Projected Savings'!I41</f>
        <v>2321.0495999999994</v>
      </c>
      <c r="I45" s="102">
        <f>'Projected Savings'!J41</f>
        <v>2707.891199999999</v>
      </c>
      <c r="J45" s="102">
        <f>'Projected Savings'!K41</f>
        <v>3094.732799999999</v>
      </c>
      <c r="K45" s="102">
        <f>'Projected Savings'!L41</f>
        <v>3481.5743999999986</v>
      </c>
      <c r="L45" s="102">
        <f>'Projected Savings'!M41</f>
        <v>3868.4159999999983</v>
      </c>
      <c r="M45" s="102">
        <f>'Projected Savings'!N41</f>
        <v>4255.257599999998</v>
      </c>
      <c r="N45" s="102">
        <f>'Projected Savings'!O41</f>
        <v>4642.099199999998</v>
      </c>
      <c r="O45" s="102">
        <f>'Projected Savings'!P41</f>
        <v>5028.940799999998</v>
      </c>
      <c r="P45" s="102">
        <f>'Projected Savings'!Q41</f>
        <v>5415.782399999997</v>
      </c>
    </row>
    <row r="47" ht="15">
      <c r="A47" s="7" t="s">
        <v>101</v>
      </c>
    </row>
    <row r="48" ht="15">
      <c r="A48" s="6" t="s">
        <v>0</v>
      </c>
    </row>
    <row r="49" ht="15">
      <c r="A49" s="6" t="s">
        <v>95</v>
      </c>
    </row>
    <row r="50" ht="15">
      <c r="A50" s="6" t="s">
        <v>96</v>
      </c>
    </row>
    <row r="51" ht="15">
      <c r="A51" s="6" t="s">
        <v>99</v>
      </c>
    </row>
    <row r="52" ht="15">
      <c r="A52" s="6" t="s">
        <v>98</v>
      </c>
    </row>
    <row r="53" ht="15">
      <c r="A53" s="6" t="s">
        <v>102</v>
      </c>
    </row>
    <row r="59" ht="15">
      <c r="A59" s="16" t="s">
        <v>111</v>
      </c>
    </row>
  </sheetData>
  <sheetProtection/>
  <mergeCells count="5">
    <mergeCell ref="A1:G1"/>
    <mergeCell ref="S10:T10"/>
    <mergeCell ref="S6:T6"/>
    <mergeCell ref="A2:G2"/>
    <mergeCell ref="A3:G3"/>
  </mergeCells>
  <printOptions/>
  <pageMargins left="0.7" right="0.7" top="0.75" bottom="0.75" header="0.3" footer="0.3"/>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Y52"/>
  <sheetViews>
    <sheetView zoomScalePageLayoutView="0" workbookViewId="0" topLeftCell="A1">
      <selection activeCell="A18" sqref="A18"/>
    </sheetView>
  </sheetViews>
  <sheetFormatPr defaultColWidth="8.7109375" defaultRowHeight="15"/>
  <cols>
    <col min="1" max="1" width="23.421875" style="0" customWidth="1"/>
    <col min="2" max="2" width="11.421875" style="0" bestFit="1" customWidth="1"/>
    <col min="3" max="7" width="8.7109375" style="0" customWidth="1"/>
    <col min="8" max="8" width="9.7109375" style="0" customWidth="1"/>
    <col min="9" max="9" width="10.00390625" style="0" bestFit="1" customWidth="1"/>
  </cols>
  <sheetData>
    <row r="1" spans="1:23" ht="18.75">
      <c r="A1" s="131" t="s">
        <v>92</v>
      </c>
      <c r="B1" s="132"/>
      <c r="C1" s="132"/>
      <c r="D1" s="132"/>
      <c r="E1" s="132"/>
      <c r="F1" s="132"/>
      <c r="G1" s="132"/>
      <c r="I1" s="16"/>
      <c r="J1" s="16"/>
      <c r="K1" s="16"/>
      <c r="L1" s="16"/>
      <c r="M1" s="16"/>
      <c r="N1" s="16"/>
      <c r="O1" s="16"/>
      <c r="P1" s="16"/>
      <c r="Q1" s="16"/>
      <c r="R1" s="16"/>
      <c r="S1" s="16"/>
      <c r="T1" s="16"/>
      <c r="U1" s="16"/>
      <c r="V1" s="16"/>
      <c r="W1" s="16"/>
    </row>
    <row r="2" spans="1:23" ht="15">
      <c r="A2" s="16"/>
      <c r="B2" s="16"/>
      <c r="C2" s="16"/>
      <c r="D2" s="19"/>
      <c r="E2" s="16"/>
      <c r="F2" s="16"/>
      <c r="G2" s="16"/>
      <c r="H2" s="16"/>
      <c r="I2" s="16"/>
      <c r="J2" s="16"/>
      <c r="K2" s="16"/>
      <c r="L2" s="16"/>
      <c r="M2" s="16"/>
      <c r="N2" s="16"/>
      <c r="O2" s="16"/>
      <c r="P2" s="16"/>
      <c r="Q2" s="16"/>
      <c r="R2" s="16"/>
      <c r="S2" s="16"/>
      <c r="T2" s="16"/>
      <c r="U2" s="16"/>
      <c r="V2" s="16"/>
      <c r="W2" s="16"/>
    </row>
    <row r="3" spans="1:23" ht="15">
      <c r="A3" s="31" t="s">
        <v>30</v>
      </c>
      <c r="B3" s="30"/>
      <c r="C3" s="16"/>
      <c r="D3" s="19"/>
      <c r="E3" s="19"/>
      <c r="F3" s="16"/>
      <c r="G3" s="16"/>
      <c r="H3" s="16"/>
      <c r="I3" s="16"/>
      <c r="J3" s="16"/>
      <c r="K3" s="16"/>
      <c r="L3" s="16"/>
      <c r="M3" s="16"/>
      <c r="N3" s="16"/>
      <c r="O3" s="16"/>
      <c r="P3" s="16"/>
      <c r="Q3" s="16"/>
      <c r="R3" s="16"/>
      <c r="S3" s="16"/>
      <c r="T3" s="16"/>
      <c r="U3" s="16"/>
      <c r="V3" s="16"/>
      <c r="W3" s="16"/>
    </row>
    <row r="4" spans="1:23" ht="15">
      <c r="A4" s="20" t="s">
        <v>62</v>
      </c>
      <c r="B4" s="16"/>
      <c r="C4" s="16"/>
      <c r="D4" s="19"/>
      <c r="E4" s="19"/>
      <c r="F4" s="16"/>
      <c r="G4" s="16"/>
      <c r="H4" s="16"/>
      <c r="I4" s="16"/>
      <c r="J4" s="16"/>
      <c r="K4" s="16"/>
      <c r="L4" s="16"/>
      <c r="M4" s="16"/>
      <c r="N4" s="16"/>
      <c r="O4" s="16"/>
      <c r="P4" s="16"/>
      <c r="Q4" s="16"/>
      <c r="R4" s="16"/>
      <c r="S4" s="16"/>
      <c r="T4" s="16"/>
      <c r="U4" s="16"/>
      <c r="V4" s="16"/>
      <c r="W4" s="16"/>
    </row>
    <row r="5" spans="1:23" ht="15">
      <c r="A5" s="16" t="s">
        <v>63</v>
      </c>
      <c r="B5" s="16"/>
      <c r="C5" s="16"/>
      <c r="D5" s="19"/>
      <c r="E5" s="19"/>
      <c r="F5" s="16"/>
      <c r="G5" s="16"/>
      <c r="H5" s="16"/>
      <c r="I5" s="16"/>
      <c r="J5" s="16"/>
      <c r="K5" s="16"/>
      <c r="L5" s="16"/>
      <c r="M5" s="16"/>
      <c r="N5" s="16"/>
      <c r="O5" s="16"/>
      <c r="P5" s="16"/>
      <c r="Q5" s="16"/>
      <c r="R5" s="16"/>
      <c r="S5" s="16"/>
      <c r="T5" s="16"/>
      <c r="U5" s="16"/>
      <c r="V5" s="16"/>
      <c r="W5" s="16"/>
    </row>
    <row r="6" spans="1:23" ht="15">
      <c r="A6" s="16" t="s">
        <v>64</v>
      </c>
      <c r="B6" s="16"/>
      <c r="C6" s="16"/>
      <c r="D6" s="19"/>
      <c r="E6" s="19"/>
      <c r="F6" s="16"/>
      <c r="G6" s="16"/>
      <c r="H6" s="16"/>
      <c r="I6" s="16"/>
      <c r="J6" s="16"/>
      <c r="K6" s="16"/>
      <c r="L6" s="16"/>
      <c r="M6" s="16"/>
      <c r="N6" s="16"/>
      <c r="O6" s="16"/>
      <c r="P6" s="16"/>
      <c r="Q6" s="16"/>
      <c r="R6" s="16"/>
      <c r="S6" s="16"/>
      <c r="T6" s="16"/>
      <c r="U6" s="16"/>
      <c r="V6" s="16"/>
      <c r="W6" s="16"/>
    </row>
    <row r="7" spans="1:23" ht="17.25">
      <c r="A7" s="16" t="s">
        <v>106</v>
      </c>
      <c r="B7" s="16"/>
      <c r="C7" s="16"/>
      <c r="D7" s="16"/>
      <c r="E7" s="16"/>
      <c r="F7" s="16"/>
      <c r="G7" s="16"/>
      <c r="H7" s="16"/>
      <c r="I7" s="16"/>
      <c r="J7" s="16"/>
      <c r="K7" s="16"/>
      <c r="L7" s="16"/>
      <c r="M7" s="16"/>
      <c r="N7" s="16"/>
      <c r="O7" s="16"/>
      <c r="P7" s="16"/>
      <c r="Q7" s="16"/>
      <c r="R7" s="16"/>
      <c r="S7" s="16"/>
      <c r="T7" s="16"/>
      <c r="U7" s="16"/>
      <c r="V7" s="16"/>
      <c r="W7" s="16"/>
    </row>
    <row r="8" spans="1:25" ht="15" customHeight="1">
      <c r="A8" s="16" t="s">
        <v>107</v>
      </c>
      <c r="B8" s="16"/>
      <c r="C8" s="16"/>
      <c r="D8" s="16"/>
      <c r="E8" s="16"/>
      <c r="F8" s="16"/>
      <c r="G8" s="16"/>
      <c r="H8" s="16"/>
      <c r="I8" s="16"/>
      <c r="J8" s="16"/>
      <c r="K8" s="16"/>
      <c r="L8" s="16"/>
      <c r="M8" s="16"/>
      <c r="N8" s="16"/>
      <c r="O8" s="16"/>
      <c r="P8" s="16"/>
      <c r="Q8" s="16"/>
      <c r="R8" s="16"/>
      <c r="S8" s="16"/>
      <c r="T8" s="16"/>
      <c r="U8" s="16"/>
      <c r="V8" s="16"/>
      <c r="W8" s="16"/>
      <c r="X8" s="16"/>
      <c r="Y8" s="16"/>
    </row>
    <row r="9" spans="1:25" ht="15">
      <c r="A9" s="16" t="s">
        <v>65</v>
      </c>
      <c r="B9" s="16"/>
      <c r="C9" s="16"/>
      <c r="D9" s="16"/>
      <c r="E9" s="16"/>
      <c r="F9" s="16"/>
      <c r="G9" s="16"/>
      <c r="H9" s="16"/>
      <c r="I9" s="16"/>
      <c r="J9" s="16"/>
      <c r="K9" s="16"/>
      <c r="L9" s="16"/>
      <c r="M9" s="16"/>
      <c r="N9" s="16"/>
      <c r="O9" s="16"/>
      <c r="P9" s="16"/>
      <c r="Q9" s="16"/>
      <c r="R9" s="16"/>
      <c r="S9" s="16"/>
      <c r="T9" s="16"/>
      <c r="U9" s="16"/>
      <c r="V9" s="16"/>
      <c r="W9" s="16"/>
      <c r="X9" s="16"/>
      <c r="Y9" s="16"/>
    </row>
    <row r="10" spans="1:25" ht="15">
      <c r="A10" s="16" t="s">
        <v>66</v>
      </c>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ht="15">
      <c r="A11" s="16" t="s">
        <v>133</v>
      </c>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5" ht="15">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5" ht="15">
      <c r="A13" s="29" t="s">
        <v>54</v>
      </c>
      <c r="B13" s="32">
        <v>0.02</v>
      </c>
      <c r="C13" s="16" t="s">
        <v>110</v>
      </c>
      <c r="D13" s="16"/>
      <c r="E13" s="16"/>
      <c r="F13" s="16"/>
      <c r="G13" s="16"/>
      <c r="H13" s="16"/>
      <c r="I13" s="16"/>
      <c r="J13" s="16"/>
      <c r="K13" s="16"/>
      <c r="L13" s="16"/>
      <c r="M13" s="16"/>
      <c r="N13" s="16"/>
      <c r="O13" s="16"/>
      <c r="P13" s="16"/>
      <c r="Q13" s="16"/>
      <c r="R13" s="16"/>
      <c r="S13" s="16"/>
      <c r="T13" s="16"/>
      <c r="U13" s="16"/>
      <c r="V13" s="16"/>
      <c r="W13" s="16"/>
      <c r="X13" s="16"/>
      <c r="Y13" s="16"/>
    </row>
    <row r="14" spans="1:25" ht="15">
      <c r="A14" s="29" t="s">
        <v>32</v>
      </c>
      <c r="B14" s="32">
        <v>0.02</v>
      </c>
      <c r="C14" s="16"/>
      <c r="D14" s="16"/>
      <c r="E14" s="16"/>
      <c r="F14" s="16"/>
      <c r="G14" s="16"/>
      <c r="H14" s="16"/>
      <c r="I14" s="16"/>
      <c r="J14" s="16"/>
      <c r="K14" s="16"/>
      <c r="L14" s="16"/>
      <c r="M14" s="16"/>
      <c r="N14" s="16"/>
      <c r="O14" s="16"/>
      <c r="P14" s="16"/>
      <c r="Q14" s="16"/>
      <c r="R14" s="16"/>
      <c r="S14" s="16"/>
      <c r="T14" s="16"/>
      <c r="U14" s="16"/>
      <c r="V14" s="16"/>
      <c r="W14" s="16"/>
      <c r="X14" s="16"/>
      <c r="Y14" s="16"/>
    </row>
    <row r="15" spans="2:25" ht="15">
      <c r="B15" s="78" t="s">
        <v>82</v>
      </c>
      <c r="C15" s="79" t="s">
        <v>83</v>
      </c>
      <c r="D15" s="79" t="s">
        <v>84</v>
      </c>
      <c r="E15" s="79" t="s">
        <v>85</v>
      </c>
      <c r="F15" s="79" t="s">
        <v>86</v>
      </c>
      <c r="G15" s="79" t="s">
        <v>87</v>
      </c>
      <c r="H15" s="79" t="s">
        <v>73</v>
      </c>
      <c r="I15" s="79" t="s">
        <v>74</v>
      </c>
      <c r="J15" s="79" t="s">
        <v>75</v>
      </c>
      <c r="K15" s="79" t="s">
        <v>76</v>
      </c>
      <c r="L15" s="79" t="s">
        <v>77</v>
      </c>
      <c r="M15" s="79" t="s">
        <v>78</v>
      </c>
      <c r="N15" s="79" t="s">
        <v>79</v>
      </c>
      <c r="O15" s="79" t="s">
        <v>80</v>
      </c>
      <c r="P15" s="79" t="s">
        <v>81</v>
      </c>
      <c r="Q15" s="16"/>
      <c r="R15" s="16"/>
      <c r="S15" s="16"/>
      <c r="T15" s="16"/>
      <c r="U15" s="16"/>
      <c r="V15" s="16"/>
      <c r="W15" s="16"/>
      <c r="X15" s="16"/>
      <c r="Y15" s="16"/>
    </row>
    <row r="16" spans="1:25" ht="15">
      <c r="A16" s="29" t="s">
        <v>68</v>
      </c>
      <c r="B16" s="93">
        <v>0.08</v>
      </c>
      <c r="C16" s="33">
        <f aca="true" t="shared" si="0" ref="C16:P16">B16*(1+$B$13)</f>
        <v>0.0816</v>
      </c>
      <c r="D16" s="33">
        <f t="shared" si="0"/>
        <v>0.08323200000000001</v>
      </c>
      <c r="E16" s="33">
        <f t="shared" si="0"/>
        <v>0.08489664000000001</v>
      </c>
      <c r="F16" s="33">
        <f t="shared" si="0"/>
        <v>0.0865945728</v>
      </c>
      <c r="G16" s="33">
        <f t="shared" si="0"/>
        <v>0.088326464256</v>
      </c>
      <c r="H16" s="33">
        <f t="shared" si="0"/>
        <v>0.09009299354112</v>
      </c>
      <c r="I16" s="33">
        <f t="shared" si="0"/>
        <v>0.09189485341194241</v>
      </c>
      <c r="J16" s="33">
        <f t="shared" si="0"/>
        <v>0.09373275048018126</v>
      </c>
      <c r="K16" s="33">
        <f t="shared" si="0"/>
        <v>0.09560740548978489</v>
      </c>
      <c r="L16" s="33">
        <f t="shared" si="0"/>
        <v>0.09751955359958059</v>
      </c>
      <c r="M16" s="33">
        <f t="shared" si="0"/>
        <v>0.0994699446715722</v>
      </c>
      <c r="N16" s="33">
        <f t="shared" si="0"/>
        <v>0.10145934356500365</v>
      </c>
      <c r="O16" s="33">
        <f t="shared" si="0"/>
        <v>0.10348853043630372</v>
      </c>
      <c r="P16" s="33">
        <f t="shared" si="0"/>
        <v>0.1055583010450298</v>
      </c>
      <c r="Q16" s="16"/>
      <c r="R16" s="16"/>
      <c r="S16" s="16"/>
      <c r="T16" s="16"/>
      <c r="U16" s="16"/>
      <c r="V16" s="16"/>
      <c r="W16" s="16"/>
      <c r="X16" s="16"/>
      <c r="Y16" s="16"/>
    </row>
    <row r="17" spans="1:25" ht="15">
      <c r="A17" s="28" t="s">
        <v>61</v>
      </c>
      <c r="B17" s="93">
        <v>30.13</v>
      </c>
      <c r="C17" s="33">
        <f aca="true" t="shared" si="1" ref="C17:P17">B17*(1+$B$14)</f>
        <v>30.732599999999998</v>
      </c>
      <c r="D17" s="33">
        <f t="shared" si="1"/>
        <v>31.347251999999997</v>
      </c>
      <c r="E17" s="33">
        <f t="shared" si="1"/>
        <v>31.974197039999996</v>
      </c>
      <c r="F17" s="33">
        <f t="shared" si="1"/>
        <v>32.6136809808</v>
      </c>
      <c r="G17" s="33">
        <f t="shared" si="1"/>
        <v>33.265954600416</v>
      </c>
      <c r="H17" s="33">
        <f t="shared" si="1"/>
        <v>33.93127369242432</v>
      </c>
      <c r="I17" s="33">
        <f t="shared" si="1"/>
        <v>34.609899166272804</v>
      </c>
      <c r="J17" s="33">
        <f t="shared" si="1"/>
        <v>35.30209714959826</v>
      </c>
      <c r="K17" s="33">
        <f t="shared" si="1"/>
        <v>36.00813909259023</v>
      </c>
      <c r="L17" s="33">
        <f t="shared" si="1"/>
        <v>36.72830187444203</v>
      </c>
      <c r="M17" s="33">
        <f t="shared" si="1"/>
        <v>37.46286791193087</v>
      </c>
      <c r="N17" s="33">
        <f t="shared" si="1"/>
        <v>38.21212527016949</v>
      </c>
      <c r="O17" s="33">
        <f t="shared" si="1"/>
        <v>38.976367775572875</v>
      </c>
      <c r="P17" s="33">
        <f t="shared" si="1"/>
        <v>39.75589513108433</v>
      </c>
      <c r="Q17" s="16"/>
      <c r="R17" s="16"/>
      <c r="S17" s="16"/>
      <c r="T17" s="16"/>
      <c r="U17" s="16"/>
      <c r="V17" s="16"/>
      <c r="W17" s="16"/>
      <c r="X17" s="16"/>
      <c r="Y17" s="16"/>
    </row>
    <row r="18" spans="1:25" ht="18" customHeight="1">
      <c r="A18" s="186" t="s">
        <v>112</v>
      </c>
      <c r="B18" s="4"/>
      <c r="C18" s="109"/>
      <c r="D18" s="109"/>
      <c r="E18" s="109"/>
      <c r="F18" s="109"/>
      <c r="G18" s="109"/>
      <c r="H18" s="109"/>
      <c r="I18" s="109"/>
      <c r="J18" s="109"/>
      <c r="K18" s="109"/>
      <c r="L18" s="109"/>
      <c r="M18" s="109"/>
      <c r="N18" s="109"/>
      <c r="O18" s="109"/>
      <c r="P18" s="109"/>
      <c r="Q18" s="16"/>
      <c r="R18" s="16"/>
      <c r="S18" s="16"/>
      <c r="T18" s="16"/>
      <c r="U18" s="16"/>
      <c r="V18" s="16"/>
      <c r="W18" s="16"/>
      <c r="X18" s="16"/>
      <c r="Y18" s="16"/>
    </row>
    <row r="19" spans="1:25" ht="18"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5.75" thickBot="1">
      <c r="A20" s="133" t="s">
        <v>1</v>
      </c>
      <c r="B20" s="133"/>
      <c r="C20" s="16"/>
      <c r="D20" s="16"/>
      <c r="E20" s="16"/>
      <c r="F20" s="16"/>
      <c r="G20" s="16"/>
      <c r="H20" s="16"/>
      <c r="I20" s="16"/>
      <c r="J20" s="16"/>
      <c r="K20" s="16"/>
      <c r="L20" s="16"/>
      <c r="M20" s="16"/>
      <c r="N20" s="16"/>
      <c r="O20" s="16"/>
      <c r="P20" s="16"/>
      <c r="Q20" s="16"/>
      <c r="R20" s="16"/>
      <c r="S20" s="16"/>
      <c r="T20" s="16"/>
      <c r="U20" s="16"/>
      <c r="V20" s="16"/>
      <c r="W20" s="16"/>
      <c r="X20" s="16"/>
      <c r="Y20" s="16"/>
    </row>
    <row r="21" spans="1:25" ht="16.5" customHeight="1">
      <c r="A21" s="10" t="s">
        <v>55</v>
      </c>
      <c r="B21" s="91">
        <v>1</v>
      </c>
      <c r="C21" s="16"/>
      <c r="D21" s="16"/>
      <c r="E21" s="16"/>
      <c r="F21" s="16"/>
      <c r="G21" s="16"/>
      <c r="H21" s="16"/>
      <c r="I21" s="16"/>
      <c r="J21" s="16"/>
      <c r="K21" s="16"/>
      <c r="L21" s="16"/>
      <c r="M21" s="16"/>
      <c r="N21" s="16"/>
      <c r="O21" s="16"/>
      <c r="P21" s="16"/>
      <c r="Q21" s="16"/>
      <c r="R21" s="16"/>
      <c r="S21" s="16"/>
      <c r="T21" s="16"/>
      <c r="U21" s="16"/>
      <c r="V21" s="16"/>
      <c r="W21" s="16"/>
      <c r="X21" s="16"/>
      <c r="Y21" s="16"/>
    </row>
    <row r="22" spans="1:25" ht="15">
      <c r="A22" s="9" t="s">
        <v>56</v>
      </c>
      <c r="B22" s="91">
        <v>0.4</v>
      </c>
      <c r="C22" s="16"/>
      <c r="D22" s="16"/>
      <c r="E22" s="16"/>
      <c r="F22" s="16"/>
      <c r="G22" s="16"/>
      <c r="H22" s="16"/>
      <c r="I22" s="16"/>
      <c r="J22" s="16"/>
      <c r="K22" s="16"/>
      <c r="L22" s="16"/>
      <c r="M22" s="16"/>
      <c r="N22" s="16"/>
      <c r="O22" s="16"/>
      <c r="P22" s="16"/>
      <c r="Q22" s="16"/>
      <c r="R22" s="16"/>
      <c r="S22" s="16"/>
      <c r="T22" s="16"/>
      <c r="U22" s="16"/>
      <c r="V22" s="16"/>
      <c r="W22" s="16"/>
      <c r="X22" s="16"/>
      <c r="Y22" s="16"/>
    </row>
    <row r="23" spans="1:25" ht="15">
      <c r="A23" s="9" t="s">
        <v>58</v>
      </c>
      <c r="B23" s="91">
        <v>24</v>
      </c>
      <c r="C23" s="16"/>
      <c r="D23" s="16"/>
      <c r="E23" s="16"/>
      <c r="F23" s="16"/>
      <c r="G23" s="16"/>
      <c r="H23" s="16"/>
      <c r="I23" s="16"/>
      <c r="J23" s="16"/>
      <c r="K23" s="16"/>
      <c r="L23" s="16"/>
      <c r="M23" s="16"/>
      <c r="N23" s="16"/>
      <c r="O23" s="16"/>
      <c r="P23" s="16"/>
      <c r="Q23" s="16"/>
      <c r="R23" s="16"/>
      <c r="S23" s="16"/>
      <c r="T23" s="16"/>
      <c r="U23" s="16"/>
      <c r="V23" s="16"/>
      <c r="W23" s="16"/>
      <c r="X23" s="16"/>
      <c r="Y23" s="16"/>
    </row>
    <row r="24" spans="1:25" ht="14.25" customHeight="1">
      <c r="A24" s="9" t="s">
        <v>57</v>
      </c>
      <c r="B24" s="91">
        <v>365</v>
      </c>
      <c r="C24" s="16"/>
      <c r="D24" s="16"/>
      <c r="E24" s="16"/>
      <c r="F24" s="16"/>
      <c r="G24" s="16"/>
      <c r="H24" s="16"/>
      <c r="I24" s="16"/>
      <c r="J24" s="16"/>
      <c r="K24" s="16"/>
      <c r="L24" s="16"/>
      <c r="M24" s="16"/>
      <c r="N24" s="16"/>
      <c r="O24" s="16"/>
      <c r="P24" s="16"/>
      <c r="Q24" s="16"/>
      <c r="R24" s="16"/>
      <c r="S24" s="16"/>
      <c r="T24" s="16"/>
      <c r="U24" s="16"/>
      <c r="V24" s="16"/>
      <c r="W24" s="16"/>
      <c r="X24" s="16"/>
      <c r="Y24" s="16"/>
    </row>
    <row r="25" spans="1:25" ht="15">
      <c r="A25" s="28" t="s">
        <v>88</v>
      </c>
      <c r="B25" s="92">
        <v>0.46</v>
      </c>
      <c r="C25" s="16" t="s">
        <v>113</v>
      </c>
      <c r="D25" s="16"/>
      <c r="E25" s="16"/>
      <c r="F25" s="16"/>
      <c r="G25" s="16"/>
      <c r="H25" s="16"/>
      <c r="I25" s="16"/>
      <c r="J25" s="16"/>
      <c r="K25" s="16"/>
      <c r="L25" s="16"/>
      <c r="M25" s="16"/>
      <c r="N25" s="16"/>
      <c r="O25" s="16"/>
      <c r="P25" s="16"/>
      <c r="Q25" s="16"/>
      <c r="R25" s="16"/>
      <c r="S25" s="16"/>
      <c r="T25" s="16"/>
      <c r="U25" s="16"/>
      <c r="V25" s="16"/>
      <c r="W25" s="16"/>
      <c r="X25" s="16"/>
      <c r="Y25" s="16"/>
    </row>
    <row r="26" spans="1:25" ht="15">
      <c r="A26" s="28" t="s">
        <v>59</v>
      </c>
      <c r="B26" s="93">
        <v>200.48</v>
      </c>
      <c r="C26" s="16"/>
      <c r="D26" s="16"/>
      <c r="E26" s="16"/>
      <c r="F26" s="16"/>
      <c r="G26" s="16"/>
      <c r="H26" s="16"/>
      <c r="I26" s="16"/>
      <c r="J26" s="16"/>
      <c r="K26" s="16"/>
      <c r="L26" s="16"/>
      <c r="M26" s="16"/>
      <c r="N26" s="16"/>
      <c r="O26" s="16"/>
      <c r="P26" s="16"/>
      <c r="Q26" s="16"/>
      <c r="R26" s="16"/>
      <c r="S26" s="16"/>
      <c r="T26" s="16"/>
      <c r="U26" s="16"/>
      <c r="V26" s="16"/>
      <c r="W26" s="16"/>
      <c r="X26" s="16"/>
      <c r="Y26" s="16"/>
    </row>
    <row r="27" spans="1:25" ht="15">
      <c r="A27" s="28" t="s">
        <v>60</v>
      </c>
      <c r="B27" s="91">
        <v>0.5</v>
      </c>
      <c r="C27" s="16"/>
      <c r="D27" s="16"/>
      <c r="E27" s="16"/>
      <c r="F27" s="16"/>
      <c r="G27" s="16"/>
      <c r="H27" s="16"/>
      <c r="I27" s="16"/>
      <c r="J27" s="16"/>
      <c r="K27" s="16"/>
      <c r="L27" s="16"/>
      <c r="M27" s="16"/>
      <c r="N27" s="16"/>
      <c r="O27" s="16"/>
      <c r="P27" s="16"/>
      <c r="Q27" s="16"/>
      <c r="R27" s="16"/>
      <c r="S27" s="16"/>
      <c r="T27" s="16"/>
      <c r="U27" s="16"/>
      <c r="V27" s="16"/>
      <c r="W27" s="16"/>
      <c r="X27" s="16"/>
      <c r="Y27" s="16"/>
    </row>
    <row r="28" spans="1:25"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25" ht="15">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7.2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1:25"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ht="15">
      <c r="A33" s="16"/>
      <c r="B33" s="16"/>
      <c r="C33" s="16"/>
      <c r="D33" s="16"/>
      <c r="E33" s="16"/>
      <c r="F33" s="16"/>
      <c r="G33" s="16"/>
      <c r="H33" s="16"/>
      <c r="I33" s="16"/>
      <c r="J33" s="16"/>
      <c r="K33" s="16"/>
      <c r="L33" s="16"/>
      <c r="M33" s="16"/>
      <c r="N33" s="16"/>
      <c r="O33" s="16"/>
      <c r="P33" s="16"/>
      <c r="Q33" s="16"/>
      <c r="R33" s="16"/>
      <c r="S33" s="16"/>
      <c r="T33" s="16"/>
      <c r="U33" s="16"/>
      <c r="V33" s="16"/>
      <c r="W33" s="16"/>
      <c r="X33" s="16"/>
      <c r="Y33" s="16"/>
    </row>
    <row r="34" spans="1:25" ht="15">
      <c r="A34" s="16"/>
      <c r="B34" s="16"/>
      <c r="C34" s="16"/>
      <c r="D34" s="16"/>
      <c r="E34" s="16"/>
      <c r="F34" s="16"/>
      <c r="G34" s="16"/>
      <c r="H34" s="16"/>
      <c r="I34" s="16"/>
      <c r="J34" s="16"/>
      <c r="K34" s="16"/>
      <c r="L34" s="16"/>
      <c r="M34" s="16"/>
      <c r="N34" s="16"/>
      <c r="O34" s="16"/>
      <c r="P34" s="16"/>
      <c r="Q34" s="16"/>
      <c r="R34" s="16"/>
      <c r="S34" s="16"/>
      <c r="T34" s="16"/>
      <c r="U34" s="16"/>
      <c r="V34" s="16"/>
      <c r="W34" s="16"/>
      <c r="X34" s="16"/>
      <c r="Y34" s="16"/>
    </row>
    <row r="35" spans="1:25" ht="15">
      <c r="A35" s="16" t="s">
        <v>111</v>
      </c>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5">
      <c r="A37" s="16"/>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ht="15">
      <c r="A38" s="16"/>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5" ht="15">
      <c r="A39" s="16"/>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25" ht="15">
      <c r="A40" s="16"/>
      <c r="B40" s="16"/>
      <c r="C40" s="16"/>
      <c r="D40" s="16"/>
      <c r="E40" s="16"/>
      <c r="F40" s="16"/>
      <c r="G40" s="16"/>
      <c r="H40" s="16"/>
      <c r="I40" s="16"/>
      <c r="J40" s="16"/>
      <c r="K40" s="16"/>
      <c r="L40" s="16"/>
      <c r="M40" s="16"/>
      <c r="N40" s="16"/>
      <c r="O40" s="16"/>
      <c r="P40" s="16"/>
      <c r="Q40" s="16"/>
      <c r="R40" s="16"/>
      <c r="S40" s="16"/>
      <c r="T40" s="16"/>
      <c r="U40" s="16"/>
      <c r="V40" s="16"/>
      <c r="W40" s="16"/>
      <c r="X40" s="16"/>
      <c r="Y40" s="16"/>
    </row>
    <row r="41" spans="1:25" ht="15">
      <c r="A41" s="16"/>
      <c r="B41" s="16"/>
      <c r="C41" s="16"/>
      <c r="D41" s="16"/>
      <c r="E41" s="16"/>
      <c r="F41" s="16"/>
      <c r="G41" s="16"/>
      <c r="H41" s="16"/>
      <c r="I41" s="16"/>
      <c r="J41" s="16"/>
      <c r="K41" s="16"/>
      <c r="L41" s="16"/>
      <c r="M41" s="16"/>
      <c r="N41" s="16"/>
      <c r="O41" s="16"/>
      <c r="P41" s="16"/>
      <c r="Q41" s="16"/>
      <c r="R41" s="16"/>
      <c r="S41" s="16"/>
      <c r="T41" s="16"/>
      <c r="U41" s="16"/>
      <c r="V41" s="16"/>
      <c r="W41" s="16"/>
      <c r="X41" s="16"/>
      <c r="Y41" s="16"/>
    </row>
    <row r="42" spans="1:25" ht="15">
      <c r="A42" s="16"/>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5">
      <c r="A43" s="16"/>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ht="15">
      <c r="A44" s="16"/>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
      <c r="A45" s="16"/>
      <c r="B45" s="16"/>
      <c r="C45" s="16"/>
      <c r="D45" s="16"/>
      <c r="E45" s="16"/>
      <c r="F45" s="16"/>
      <c r="G45" s="16"/>
      <c r="H45" s="16"/>
      <c r="I45" s="16"/>
      <c r="J45" s="16"/>
      <c r="K45" s="16"/>
      <c r="L45" s="16"/>
      <c r="M45" s="16"/>
      <c r="N45" s="16"/>
      <c r="O45" s="16"/>
      <c r="P45" s="16"/>
      <c r="Q45" s="16"/>
      <c r="R45" s="16"/>
      <c r="S45" s="16"/>
      <c r="T45" s="16"/>
      <c r="U45" s="16"/>
      <c r="V45" s="16"/>
      <c r="W45" s="16"/>
      <c r="X45" s="16"/>
      <c r="Y45" s="16"/>
    </row>
    <row r="46" spans="1:25" ht="15">
      <c r="A46" s="16"/>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row>
    <row r="48" spans="1:25" ht="15">
      <c r="A48" s="16"/>
      <c r="B48" s="16"/>
      <c r="C48" s="16"/>
      <c r="D48" s="16"/>
      <c r="E48" s="16"/>
      <c r="F48" s="16"/>
      <c r="G48" s="16"/>
      <c r="H48" s="16"/>
      <c r="I48" s="16"/>
      <c r="J48" s="16"/>
      <c r="K48" s="16"/>
      <c r="L48" s="16"/>
      <c r="M48" s="16"/>
      <c r="N48" s="16"/>
      <c r="O48" s="16"/>
      <c r="P48" s="16"/>
      <c r="Q48" s="16"/>
      <c r="R48" s="16"/>
      <c r="S48" s="16"/>
      <c r="T48" s="16"/>
      <c r="U48" s="16"/>
      <c r="V48" s="16"/>
      <c r="W48" s="16"/>
      <c r="X48" s="16"/>
      <c r="Y48" s="16"/>
    </row>
    <row r="49" spans="1:25"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row>
    <row r="50" spans="1:25"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4:25" ht="15">
      <c r="D51" s="16"/>
      <c r="E51" s="16"/>
      <c r="F51" s="16"/>
      <c r="G51" s="16"/>
      <c r="H51" s="16"/>
      <c r="I51" s="16"/>
      <c r="J51" s="16"/>
      <c r="K51" s="16"/>
      <c r="L51" s="16"/>
      <c r="M51" s="16"/>
      <c r="N51" s="16"/>
      <c r="O51" s="16"/>
      <c r="P51" s="16"/>
      <c r="Q51" s="16"/>
      <c r="R51" s="16"/>
      <c r="S51" s="16"/>
      <c r="T51" s="16"/>
      <c r="U51" s="16"/>
      <c r="V51" s="16"/>
      <c r="W51" s="16"/>
      <c r="X51" s="16"/>
      <c r="Y51" s="16"/>
    </row>
    <row r="52" spans="4:25" ht="15">
      <c r="D52" s="16"/>
      <c r="E52" s="16"/>
      <c r="F52" s="16"/>
      <c r="G52" s="16"/>
      <c r="H52" s="16"/>
      <c r="I52" s="16"/>
      <c r="J52" s="16"/>
      <c r="K52" s="16"/>
      <c r="L52" s="16"/>
      <c r="M52" s="16"/>
      <c r="N52" s="16"/>
      <c r="O52" s="16"/>
      <c r="P52" s="16"/>
      <c r="Q52" s="16"/>
      <c r="R52" s="16"/>
      <c r="S52" s="16"/>
      <c r="T52" s="16"/>
      <c r="U52" s="16"/>
      <c r="V52" s="16"/>
      <c r="W52" s="16"/>
      <c r="X52" s="16"/>
      <c r="Y52" s="16"/>
    </row>
  </sheetData>
  <sheetProtection/>
  <mergeCells count="2">
    <mergeCell ref="A1:G1"/>
    <mergeCell ref="A20:B20"/>
  </mergeCells>
  <hyperlinks>
    <hyperlink ref="A25" location="ERF_assumption" display="Energy Reduction Factor"/>
    <hyperlink ref="A26" location="sensor_cost_assumption" display="Sensor Cost"/>
    <hyperlink ref="A27" location="labour_time_assumption" display="Installation Time (h)"/>
    <hyperlink ref="A17" location="labour_cost_assumption" display="Labor Cost ($/h)"/>
    <hyperlink ref="A16" location="energy_cost_assumption" display="Cost of Electricity"/>
    <hyperlink ref="A14" location="labor_inflation_assumption" display="Labor Inflation"/>
    <hyperlink ref="A13" location="Electricity_inflation_assumption" display="Electricity Inflation "/>
    <hyperlink ref="A18" location="ROT_assumption" display="Risk Free Rate of Return"/>
  </hyperlinks>
  <printOptions/>
  <pageMargins left="0.7" right="0.7" top="0.75" bottom="0.7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dimension ref="A1:AG100"/>
  <sheetViews>
    <sheetView zoomScalePageLayoutView="0" workbookViewId="0" topLeftCell="A7">
      <selection activeCell="G34" sqref="G34"/>
    </sheetView>
  </sheetViews>
  <sheetFormatPr defaultColWidth="8.7109375" defaultRowHeight="15"/>
  <cols>
    <col min="1" max="1" width="5.28125" style="0" customWidth="1"/>
    <col min="2" max="2" width="55.7109375" style="0" bestFit="1" customWidth="1"/>
    <col min="3" max="3" width="9.140625" style="0" customWidth="1"/>
    <col min="4" max="4" width="7.421875" style="0" customWidth="1"/>
    <col min="5" max="5" width="7.00390625" style="0" customWidth="1"/>
    <col min="6" max="6" width="7.7109375" style="0" customWidth="1"/>
    <col min="7" max="8" width="7.421875" style="0" customWidth="1"/>
    <col min="9" max="9" width="7.28125" style="0" customWidth="1"/>
    <col min="10" max="10" width="7.00390625" style="0" customWidth="1"/>
    <col min="11" max="11" width="6.7109375" style="0" customWidth="1"/>
    <col min="12" max="12" width="8.140625" style="0" bestFit="1" customWidth="1"/>
    <col min="13" max="13" width="8.00390625" style="0" customWidth="1"/>
  </cols>
  <sheetData>
    <row r="1" spans="1:33" ht="19.5" thickBot="1">
      <c r="A1" s="141" t="s">
        <v>48</v>
      </c>
      <c r="B1" s="142"/>
      <c r="C1" s="142"/>
      <c r="D1" s="142"/>
      <c r="E1" s="142"/>
      <c r="F1" s="142"/>
      <c r="G1" s="142"/>
      <c r="H1" s="142"/>
      <c r="I1" s="142"/>
      <c r="J1" s="142"/>
      <c r="K1" s="142"/>
      <c r="L1" s="142"/>
      <c r="M1" s="142"/>
      <c r="N1" s="142"/>
      <c r="O1" s="142"/>
      <c r="P1" s="142"/>
      <c r="Q1" s="143"/>
      <c r="R1" s="16"/>
      <c r="S1" s="16"/>
      <c r="T1" s="16"/>
      <c r="U1" s="16"/>
      <c r="V1" s="16"/>
      <c r="W1" s="16"/>
      <c r="X1" s="16"/>
      <c r="Y1" s="16"/>
      <c r="Z1" s="16"/>
      <c r="AA1" s="16"/>
      <c r="AB1" s="16"/>
      <c r="AC1" s="16"/>
      <c r="AD1" s="16"/>
      <c r="AE1" s="16"/>
      <c r="AF1" s="16"/>
      <c r="AG1" s="16"/>
    </row>
    <row r="2" spans="1:33" ht="15" customHeight="1">
      <c r="A2" s="16"/>
      <c r="B2" s="16"/>
      <c r="C2" s="16"/>
      <c r="D2" s="16"/>
      <c r="E2" s="20" t="s">
        <v>49</v>
      </c>
      <c r="F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ht="15">
      <c r="A4" s="16"/>
      <c r="B4" s="144"/>
      <c r="C4" s="144"/>
      <c r="D4" s="144"/>
      <c r="E4" s="144"/>
      <c r="F4" s="144"/>
      <c r="G4" s="144"/>
      <c r="H4" s="144"/>
      <c r="I4" s="16"/>
      <c r="J4" s="16"/>
      <c r="K4" s="16"/>
      <c r="L4" s="16"/>
      <c r="M4" s="16"/>
      <c r="N4" s="16"/>
      <c r="O4" s="16"/>
      <c r="P4" s="16"/>
      <c r="Q4" s="16"/>
      <c r="R4" s="16"/>
      <c r="S4" s="16"/>
      <c r="T4" s="16"/>
      <c r="U4" s="16"/>
      <c r="V4" s="16"/>
      <c r="W4" s="16"/>
      <c r="X4" s="16"/>
      <c r="Y4" s="16"/>
      <c r="Z4" s="16"/>
      <c r="AA4" s="16"/>
      <c r="AB4" s="16"/>
      <c r="AC4" s="16"/>
      <c r="AD4" s="16"/>
      <c r="AE4" s="16"/>
      <c r="AF4" s="16"/>
      <c r="AG4" s="16"/>
    </row>
    <row r="5" spans="1:33" ht="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5.75" thickBot="1">
      <c r="A6" s="47"/>
      <c r="B6" s="47"/>
      <c r="C6" s="80" t="s">
        <v>82</v>
      </c>
      <c r="D6" s="80" t="s">
        <v>83</v>
      </c>
      <c r="E6" s="80" t="s">
        <v>84</v>
      </c>
      <c r="F6" s="80" t="s">
        <v>85</v>
      </c>
      <c r="G6" s="80" t="s">
        <v>86</v>
      </c>
      <c r="H6" s="80" t="s">
        <v>87</v>
      </c>
      <c r="I6" s="80" t="s">
        <v>73</v>
      </c>
      <c r="J6" s="80" t="s">
        <v>74</v>
      </c>
      <c r="K6" s="80" t="s">
        <v>75</v>
      </c>
      <c r="L6" s="80" t="s">
        <v>76</v>
      </c>
      <c r="M6" s="80" t="s">
        <v>77</v>
      </c>
      <c r="N6" s="80" t="s">
        <v>78</v>
      </c>
      <c r="O6" s="80" t="s">
        <v>79</v>
      </c>
      <c r="P6" s="80" t="s">
        <v>80</v>
      </c>
      <c r="Q6" s="80" t="s">
        <v>81</v>
      </c>
      <c r="R6" s="16"/>
      <c r="S6" s="16"/>
      <c r="T6" s="16"/>
      <c r="U6" s="16"/>
      <c r="V6" s="16"/>
      <c r="W6" s="16"/>
      <c r="X6" s="16"/>
      <c r="Y6" s="16"/>
      <c r="Z6" s="16"/>
      <c r="AA6" s="16"/>
      <c r="AB6" s="16"/>
      <c r="AC6" s="16"/>
      <c r="AD6" s="16"/>
      <c r="AE6" s="16"/>
      <c r="AF6" s="16"/>
      <c r="AG6" s="16"/>
    </row>
    <row r="7" spans="1:33" ht="15" customHeight="1">
      <c r="A7" s="145" t="s">
        <v>36</v>
      </c>
      <c r="B7" s="42" t="s">
        <v>2</v>
      </c>
      <c r="C7" s="34"/>
      <c r="D7" s="34">
        <f aca="true" t="shared" si="0" ref="D7:Q7">hours_day*hours_year*Power_Usage*No_Machines</f>
        <v>3504</v>
      </c>
      <c r="E7" s="34">
        <f t="shared" si="0"/>
        <v>3504</v>
      </c>
      <c r="F7" s="34">
        <f t="shared" si="0"/>
        <v>3504</v>
      </c>
      <c r="G7" s="34">
        <f t="shared" si="0"/>
        <v>3504</v>
      </c>
      <c r="H7" s="34">
        <f t="shared" si="0"/>
        <v>3504</v>
      </c>
      <c r="I7" s="34">
        <f t="shared" si="0"/>
        <v>3504</v>
      </c>
      <c r="J7" s="34">
        <f t="shared" si="0"/>
        <v>3504</v>
      </c>
      <c r="K7" s="34">
        <f t="shared" si="0"/>
        <v>3504</v>
      </c>
      <c r="L7" s="34">
        <f t="shared" si="0"/>
        <v>3504</v>
      </c>
      <c r="M7" s="34">
        <f t="shared" si="0"/>
        <v>3504</v>
      </c>
      <c r="N7" s="34">
        <f t="shared" si="0"/>
        <v>3504</v>
      </c>
      <c r="O7" s="34">
        <f t="shared" si="0"/>
        <v>3504</v>
      </c>
      <c r="P7" s="34">
        <f t="shared" si="0"/>
        <v>3504</v>
      </c>
      <c r="Q7" s="34">
        <f t="shared" si="0"/>
        <v>3504</v>
      </c>
      <c r="R7" s="16"/>
      <c r="S7" s="16"/>
      <c r="T7" s="16"/>
      <c r="U7" s="16"/>
      <c r="V7" s="16"/>
      <c r="W7" s="16"/>
      <c r="X7" s="16"/>
      <c r="Y7" s="16"/>
      <c r="Z7" s="16"/>
      <c r="AA7" s="16"/>
      <c r="AB7" s="16"/>
      <c r="AC7" s="16"/>
      <c r="AD7" s="16"/>
      <c r="AE7" s="16"/>
      <c r="AF7" s="16"/>
      <c r="AG7" s="16"/>
    </row>
    <row r="8" spans="1:33" ht="15">
      <c r="A8" s="146"/>
      <c r="B8" s="41" t="s">
        <v>69</v>
      </c>
      <c r="C8" s="35"/>
      <c r="D8" s="49">
        <f>No_Machines*hours_day*hours_year*Power_Usage*year1_energy_cost</f>
        <v>285.9264</v>
      </c>
      <c r="E8" s="49">
        <f>No_Machines*hours_day*hours_year*Power_Usage*year2_energy_cost</f>
        <v>291.64492800000005</v>
      </c>
      <c r="F8" s="49">
        <f>No_Machines*hours_day*hours_year*Power_Usage*year3_energy_cost</f>
        <v>297.47782656000004</v>
      </c>
      <c r="G8" s="49">
        <f>No_Machines*hours_day*hours_year*Power_Usage*year4_energy_cost</f>
        <v>303.4273830912</v>
      </c>
      <c r="H8" s="49">
        <f>No_Machines*hours_day*hours_year*Power_Usage*year5_energy_cost</f>
        <v>309.495930753024</v>
      </c>
      <c r="I8" s="48">
        <f>No_Machines*hours_day*hours_year*Power_Usage*year6_energy_cost</f>
        <v>315.6858493680845</v>
      </c>
      <c r="J8" s="48">
        <f>No_Machines*hours_day*hours_year*Power_Usage*year7_energy_cost</f>
        <v>321.9995663554462</v>
      </c>
      <c r="K8" s="48">
        <f>No_Machines*hours_day*hours_year*Power_Usage*year8_energy_cost</f>
        <v>328.4395576825551</v>
      </c>
      <c r="L8" s="48">
        <f>No_Machines*hours_day*hours_year*Power_Usage*year9_energy_cost</f>
        <v>335.00834883620627</v>
      </c>
      <c r="M8" s="48">
        <f>No_Machines*hours_day*hours_year*Power_Usage*year10_energy_cost</f>
        <v>341.7085158129304</v>
      </c>
      <c r="N8" s="48">
        <f>No_Machines*hours_day*hours_year*Power_Usage*year11_energy_cost</f>
        <v>348.542686129189</v>
      </c>
      <c r="O8" s="48">
        <f>No_Machines*hours_day*hours_year*Power_Usage*year12_energy_cost</f>
        <v>355.5135398517728</v>
      </c>
      <c r="P8" s="48">
        <f>No_Machines*hours_day*hours_year*Power_Usage*year13_energy_cost</f>
        <v>362.6238106488083</v>
      </c>
      <c r="Q8" s="48">
        <f>No_Machines*hours_day*hours_year*Power_Usage*year14_energy_cost</f>
        <v>369.8762868617844</v>
      </c>
      <c r="R8" s="16"/>
      <c r="S8" s="16"/>
      <c r="T8" s="16"/>
      <c r="U8" s="16"/>
      <c r="V8" s="16"/>
      <c r="W8" s="16"/>
      <c r="X8" s="16"/>
      <c r="Y8" s="16"/>
      <c r="Z8" s="16"/>
      <c r="AA8" s="16"/>
      <c r="AB8" s="16"/>
      <c r="AC8" s="16"/>
      <c r="AD8" s="16"/>
      <c r="AE8" s="16"/>
      <c r="AF8" s="16"/>
      <c r="AG8" s="16"/>
    </row>
    <row r="9" spans="1:33" ht="15">
      <c r="A9" s="146"/>
      <c r="B9" s="56"/>
      <c r="C9" s="57"/>
      <c r="D9" s="57"/>
      <c r="E9" s="57"/>
      <c r="F9" s="57"/>
      <c r="G9" s="57"/>
      <c r="H9" s="57"/>
      <c r="I9" s="16"/>
      <c r="J9" s="16"/>
      <c r="K9" s="16"/>
      <c r="L9" s="16"/>
      <c r="M9" s="16"/>
      <c r="N9" s="16"/>
      <c r="O9" s="16"/>
      <c r="P9" s="16"/>
      <c r="Q9" s="16"/>
      <c r="R9" s="16"/>
      <c r="S9" s="16"/>
      <c r="T9" s="16"/>
      <c r="U9" s="16"/>
      <c r="V9" s="16"/>
      <c r="W9" s="16"/>
      <c r="X9" s="16"/>
      <c r="Y9" s="16"/>
      <c r="Z9" s="16"/>
      <c r="AA9" s="16"/>
      <c r="AB9" s="16"/>
      <c r="AC9" s="16"/>
      <c r="AD9" s="16"/>
      <c r="AE9" s="16"/>
      <c r="AF9" s="16"/>
      <c r="AG9" s="16"/>
    </row>
    <row r="10" spans="1:33" ht="15">
      <c r="A10" s="146"/>
      <c r="B10" s="42" t="s">
        <v>3</v>
      </c>
      <c r="C10" s="34"/>
      <c r="D10" s="34">
        <f>(1-energy_reduction_factor)*'Projected Savings'!D7</f>
        <v>1892.16</v>
      </c>
      <c r="E10" s="34">
        <f>(1-energy_reduction_factor)*'Projected Savings'!E7</f>
        <v>1892.16</v>
      </c>
      <c r="F10" s="34">
        <f>(1-energy_reduction_factor)*'Projected Savings'!F7</f>
        <v>1892.16</v>
      </c>
      <c r="G10" s="34">
        <f>(1-energy_reduction_factor)*'Projected Savings'!G7</f>
        <v>1892.16</v>
      </c>
      <c r="H10" s="34">
        <f>(1-energy_reduction_factor)*'Projected Savings'!H7</f>
        <v>1892.16</v>
      </c>
      <c r="I10" s="4">
        <f>(1-energy_reduction_factor)*'Projected Savings'!I7</f>
        <v>1892.16</v>
      </c>
      <c r="J10" s="4">
        <f>(1-energy_reduction_factor)*'Projected Savings'!J7</f>
        <v>1892.16</v>
      </c>
      <c r="K10" s="4">
        <f>(1-energy_reduction_factor)*'Projected Savings'!K7</f>
        <v>1892.16</v>
      </c>
      <c r="L10" s="4">
        <f>(1-energy_reduction_factor)*'Projected Savings'!L7</f>
        <v>1892.16</v>
      </c>
      <c r="M10" s="4">
        <f>(1-energy_reduction_factor)*'Projected Savings'!M7</f>
        <v>1892.16</v>
      </c>
      <c r="N10" s="4">
        <f>(1-energy_reduction_factor)*'Projected Savings'!N7</f>
        <v>1892.16</v>
      </c>
      <c r="O10" s="4">
        <f>(1-energy_reduction_factor)*'Projected Savings'!O7</f>
        <v>1892.16</v>
      </c>
      <c r="P10" s="4">
        <f>(1-energy_reduction_factor)*'Projected Savings'!P7</f>
        <v>1892.16</v>
      </c>
      <c r="Q10" s="4">
        <f>(1-energy_reduction_factor)*'Projected Savings'!Q7</f>
        <v>1892.16</v>
      </c>
      <c r="R10" s="16"/>
      <c r="S10" s="16"/>
      <c r="T10" s="16"/>
      <c r="U10" s="16"/>
      <c r="V10" s="16"/>
      <c r="W10" s="16"/>
      <c r="X10" s="16"/>
      <c r="Y10" s="16"/>
      <c r="Z10" s="16"/>
      <c r="AA10" s="16"/>
      <c r="AB10" s="16"/>
      <c r="AC10" s="16"/>
      <c r="AD10" s="16"/>
      <c r="AE10" s="16"/>
      <c r="AF10" s="16"/>
      <c r="AG10" s="16"/>
    </row>
    <row r="11" spans="1:33" ht="15">
      <c r="A11" s="146"/>
      <c r="B11" s="40" t="s">
        <v>4</v>
      </c>
      <c r="C11" s="11"/>
      <c r="D11" s="48">
        <f>D10*year1_energy_cost</f>
        <v>154.400256</v>
      </c>
      <c r="E11" s="48">
        <f>E10*year2_energy_cost</f>
        <v>157.48826112000003</v>
      </c>
      <c r="F11" s="48">
        <f>F10*year3_energy_cost</f>
        <v>160.63802634240002</v>
      </c>
      <c r="G11" s="48">
        <f>G10*year4_energy_cost</f>
        <v>163.85078686924803</v>
      </c>
      <c r="H11" s="48">
        <f>H10*year5_energy_cost</f>
        <v>167.12780260663297</v>
      </c>
      <c r="I11" s="48">
        <f>I10*year6_energy_cost</f>
        <v>170.47035865876563</v>
      </c>
      <c r="J11" s="48">
        <f>J10*year7_energy_cost</f>
        <v>173.87976583194094</v>
      </c>
      <c r="K11" s="48">
        <f>K10*year8_energy_cost</f>
        <v>177.35736114857977</v>
      </c>
      <c r="L11" s="48">
        <f>L10*year9_energy_cost</f>
        <v>180.90450837155137</v>
      </c>
      <c r="M11" s="48">
        <f>M10*year10_energy_cost</f>
        <v>184.5225985389824</v>
      </c>
      <c r="N11" s="48">
        <f>N10*year11_energy_cost</f>
        <v>188.21305050976207</v>
      </c>
      <c r="O11" s="48">
        <f>O10*year12_energy_cost</f>
        <v>191.9773115199573</v>
      </c>
      <c r="P11" s="48">
        <f>P10*year13_energy_cost</f>
        <v>195.81685775035646</v>
      </c>
      <c r="Q11" s="48">
        <f>Q10*year14_energy_cost</f>
        <v>199.7331949053636</v>
      </c>
      <c r="R11" s="16"/>
      <c r="S11" s="16"/>
      <c r="T11" s="16"/>
      <c r="U11" s="16"/>
      <c r="V11" s="16"/>
      <c r="W11" s="16"/>
      <c r="X11" s="16"/>
      <c r="Y11" s="16"/>
      <c r="Z11" s="16"/>
      <c r="AA11" s="16"/>
      <c r="AB11" s="16"/>
      <c r="AC11" s="16"/>
      <c r="AD11" s="16"/>
      <c r="AE11" s="16"/>
      <c r="AF11" s="16"/>
      <c r="AG11" s="16"/>
    </row>
    <row r="12" spans="1:33" ht="15">
      <c r="A12" s="146"/>
      <c r="B12" s="20"/>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5">
      <c r="A13" s="146"/>
      <c r="B13" s="40" t="s">
        <v>5</v>
      </c>
      <c r="C13" s="4"/>
      <c r="D13" s="4">
        <f>D7*energy_reduction_factor</f>
        <v>1611.8400000000001</v>
      </c>
      <c r="E13" s="4">
        <f aca="true" t="shared" si="1" ref="E13:Q13">E7*energy_reduction_factor</f>
        <v>1611.8400000000001</v>
      </c>
      <c r="F13" s="4">
        <f t="shared" si="1"/>
        <v>1611.8400000000001</v>
      </c>
      <c r="G13" s="4">
        <f t="shared" si="1"/>
        <v>1611.8400000000001</v>
      </c>
      <c r="H13" s="4">
        <f t="shared" si="1"/>
        <v>1611.8400000000001</v>
      </c>
      <c r="I13" s="4">
        <f t="shared" si="1"/>
        <v>1611.8400000000001</v>
      </c>
      <c r="J13" s="4">
        <f t="shared" si="1"/>
        <v>1611.8400000000001</v>
      </c>
      <c r="K13" s="4">
        <f t="shared" si="1"/>
        <v>1611.8400000000001</v>
      </c>
      <c r="L13" s="4">
        <f t="shared" si="1"/>
        <v>1611.8400000000001</v>
      </c>
      <c r="M13" s="4">
        <f t="shared" si="1"/>
        <v>1611.8400000000001</v>
      </c>
      <c r="N13" s="4">
        <f t="shared" si="1"/>
        <v>1611.8400000000001</v>
      </c>
      <c r="O13" s="4">
        <f t="shared" si="1"/>
        <v>1611.8400000000001</v>
      </c>
      <c r="P13" s="4">
        <f t="shared" si="1"/>
        <v>1611.8400000000001</v>
      </c>
      <c r="Q13" s="4">
        <f t="shared" si="1"/>
        <v>1611.8400000000001</v>
      </c>
      <c r="R13" s="16"/>
      <c r="S13" s="16"/>
      <c r="T13" s="16"/>
      <c r="U13" s="16"/>
      <c r="V13" s="16"/>
      <c r="W13" s="16"/>
      <c r="X13" s="16"/>
      <c r="Y13" s="16"/>
      <c r="Z13" s="16"/>
      <c r="AA13" s="16"/>
      <c r="AB13" s="16"/>
      <c r="AC13" s="16"/>
      <c r="AD13" s="16"/>
      <c r="AE13" s="16"/>
      <c r="AF13" s="16"/>
      <c r="AG13" s="16"/>
    </row>
    <row r="14" spans="1:33" ht="15">
      <c r="A14" s="146"/>
      <c r="B14" s="40" t="s">
        <v>70</v>
      </c>
      <c r="C14" s="11"/>
      <c r="D14" s="48">
        <f>D13*year1_energy_cost</f>
        <v>131.52614400000002</v>
      </c>
      <c r="E14" s="48">
        <f>E13*year2_energy_cost</f>
        <v>134.15666688000005</v>
      </c>
      <c r="F14" s="48">
        <f>F13*year3_energy_cost</f>
        <v>136.83980021760001</v>
      </c>
      <c r="G14" s="48">
        <f>G13*year4_energy_cost</f>
        <v>139.57659622195203</v>
      </c>
      <c r="H14" s="48">
        <f>H13*year5_energy_cost</f>
        <v>142.36812814639106</v>
      </c>
      <c r="I14" s="48">
        <f>I13*year6_energy_cost</f>
        <v>145.21549070931889</v>
      </c>
      <c r="J14" s="48">
        <f>J13*year7_energy_cost</f>
        <v>148.11980052350526</v>
      </c>
      <c r="K14" s="48">
        <f>K13*year8_energy_cost</f>
        <v>151.08219653397538</v>
      </c>
      <c r="L14" s="48">
        <f>L13*year9_energy_cost</f>
        <v>154.1038404646549</v>
      </c>
      <c r="M14" s="48">
        <f>M13*year10_energy_cost</f>
        <v>157.18591727394798</v>
      </c>
      <c r="N14" s="48">
        <f>N13*year11_energy_cost</f>
        <v>160.32963561942697</v>
      </c>
      <c r="O14" s="48">
        <f>O13*year12_energy_cost</f>
        <v>163.5362283318155</v>
      </c>
      <c r="P14" s="48">
        <f>P13*year13_energy_cost</f>
        <v>166.8069528984518</v>
      </c>
      <c r="Q14" s="48">
        <f>Q13*year14_energy_cost</f>
        <v>170.14309195642085</v>
      </c>
      <c r="R14" s="16"/>
      <c r="S14" s="16"/>
      <c r="T14" s="16"/>
      <c r="U14" s="16"/>
      <c r="V14" s="16"/>
      <c r="W14" s="16"/>
      <c r="X14" s="16"/>
      <c r="Y14" s="16"/>
      <c r="Z14" s="16"/>
      <c r="AA14" s="16"/>
      <c r="AB14" s="16"/>
      <c r="AC14" s="16"/>
      <c r="AD14" s="16"/>
      <c r="AE14" s="16"/>
      <c r="AF14" s="16"/>
      <c r="AG14" s="16"/>
    </row>
    <row r="15" spans="1:33" ht="15">
      <c r="A15" s="146"/>
      <c r="B15" s="43" t="s">
        <v>31</v>
      </c>
      <c r="C15" s="5">
        <f>(Sensor_cost+(instal_time*labour_cost))*No_Machines</f>
        <v>215.545</v>
      </c>
      <c r="D15" s="5">
        <v>0</v>
      </c>
      <c r="E15" s="5">
        <v>0</v>
      </c>
      <c r="F15" s="5">
        <v>0</v>
      </c>
      <c r="G15" s="5">
        <v>0</v>
      </c>
      <c r="H15" s="5">
        <f>(Sensor_cost+(instal_time*labour_cost))*No_Machines</f>
        <v>215.545</v>
      </c>
      <c r="I15" s="36">
        <v>0</v>
      </c>
      <c r="J15" s="36">
        <v>0</v>
      </c>
      <c r="K15" s="36">
        <v>0</v>
      </c>
      <c r="L15" s="36">
        <v>0</v>
      </c>
      <c r="M15" s="37">
        <f>(Sensor_cost+(instal_time*labour_cost))*No_Machines</f>
        <v>215.545</v>
      </c>
      <c r="N15" s="37">
        <v>0</v>
      </c>
      <c r="O15" s="5">
        <v>0</v>
      </c>
      <c r="P15" s="36">
        <v>0</v>
      </c>
      <c r="Q15" s="36">
        <v>0</v>
      </c>
      <c r="R15" s="16"/>
      <c r="S15" s="16"/>
      <c r="T15" s="16"/>
      <c r="U15" s="16"/>
      <c r="V15" s="16"/>
      <c r="W15" s="16"/>
      <c r="X15" s="16"/>
      <c r="Y15" s="16"/>
      <c r="Z15" s="16"/>
      <c r="AA15" s="16"/>
      <c r="AB15" s="16"/>
      <c r="AC15" s="16"/>
      <c r="AD15" s="16"/>
      <c r="AE15" s="16"/>
      <c r="AF15" s="16"/>
      <c r="AG15" s="16"/>
    </row>
    <row r="16" spans="1:33" ht="15">
      <c r="A16" s="146"/>
      <c r="B16" s="58"/>
      <c r="C16" s="59"/>
      <c r="D16" s="59"/>
      <c r="E16" s="59"/>
      <c r="F16" s="59"/>
      <c r="G16" s="59"/>
      <c r="H16" s="59"/>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1:33" ht="10.5" customHeight="1">
      <c r="A17" s="146"/>
      <c r="B17" s="95"/>
      <c r="C17" s="62"/>
      <c r="D17" s="62"/>
      <c r="E17" s="62"/>
      <c r="F17" s="62"/>
      <c r="G17" s="62"/>
      <c r="H17" s="62"/>
      <c r="I17" s="62"/>
      <c r="J17" s="62"/>
      <c r="K17" s="62"/>
      <c r="L17" s="62"/>
      <c r="M17" s="62"/>
      <c r="N17" s="62"/>
      <c r="O17" s="62"/>
      <c r="P17" s="62"/>
      <c r="Q17" s="62"/>
      <c r="R17" s="16"/>
      <c r="S17" s="16"/>
      <c r="T17" s="16"/>
      <c r="U17" s="16"/>
      <c r="V17" s="16"/>
      <c r="W17" s="16"/>
      <c r="X17" s="16"/>
      <c r="Y17" s="16"/>
      <c r="Z17" s="16"/>
      <c r="AA17" s="16"/>
      <c r="AB17" s="16"/>
      <c r="AC17" s="16"/>
      <c r="AD17" s="16"/>
      <c r="AE17" s="16"/>
      <c r="AF17" s="16"/>
      <c r="AG17" s="16"/>
    </row>
    <row r="18" spans="1:33" ht="14.25" customHeight="1">
      <c r="A18" s="146"/>
      <c r="B18" s="44" t="s">
        <v>71</v>
      </c>
      <c r="C18" s="38">
        <f>C15</f>
        <v>215.545</v>
      </c>
      <c r="D18" s="38">
        <f>D15</f>
        <v>0</v>
      </c>
      <c r="E18" s="38">
        <f>E15</f>
        <v>0</v>
      </c>
      <c r="F18" s="38">
        <f>F15</f>
        <v>0</v>
      </c>
      <c r="G18" s="38">
        <f>G15</f>
        <v>0</v>
      </c>
      <c r="H18" s="39">
        <f>C18</f>
        <v>215.545</v>
      </c>
      <c r="I18" s="39">
        <f aca="true" t="shared" si="2" ref="I18:Q18">I15</f>
        <v>0</v>
      </c>
      <c r="J18" s="39">
        <f t="shared" si="2"/>
        <v>0</v>
      </c>
      <c r="K18" s="39">
        <f t="shared" si="2"/>
        <v>0</v>
      </c>
      <c r="L18" s="39">
        <f t="shared" si="2"/>
        <v>0</v>
      </c>
      <c r="M18" s="39">
        <f t="shared" si="2"/>
        <v>215.545</v>
      </c>
      <c r="N18" s="39">
        <f t="shared" si="2"/>
        <v>0</v>
      </c>
      <c r="O18" s="39">
        <f t="shared" si="2"/>
        <v>0</v>
      </c>
      <c r="P18" s="39">
        <f t="shared" si="2"/>
        <v>0</v>
      </c>
      <c r="Q18" s="39">
        <f t="shared" si="2"/>
        <v>0</v>
      </c>
      <c r="R18" s="16"/>
      <c r="S18" s="16"/>
      <c r="T18" s="16"/>
      <c r="U18" s="16"/>
      <c r="V18" s="16"/>
      <c r="W18" s="16"/>
      <c r="X18" s="16"/>
      <c r="Y18" s="16"/>
      <c r="Z18" s="16"/>
      <c r="AA18" s="16"/>
      <c r="AB18" s="16"/>
      <c r="AC18" s="16"/>
      <c r="AD18" s="16"/>
      <c r="AE18" s="16"/>
      <c r="AF18" s="16"/>
      <c r="AG18" s="16"/>
    </row>
    <row r="19" spans="1:33" ht="15">
      <c r="A19" s="146"/>
      <c r="B19" s="45" t="s">
        <v>43</v>
      </c>
      <c r="C19" s="5">
        <v>0</v>
      </c>
      <c r="D19" s="5">
        <f>D8-D11</f>
        <v>131.526144</v>
      </c>
      <c r="E19" s="5">
        <f aca="true" t="shared" si="3" ref="E19:Q19">E8-E11</f>
        <v>134.15666688000002</v>
      </c>
      <c r="F19" s="5">
        <f t="shared" si="3"/>
        <v>136.83980021760001</v>
      </c>
      <c r="G19" s="5">
        <f t="shared" si="3"/>
        <v>139.57659622195197</v>
      </c>
      <c r="H19" s="5">
        <f t="shared" si="3"/>
        <v>142.36812814639106</v>
      </c>
      <c r="I19" s="5">
        <f>I8-I11</f>
        <v>145.21549070931889</v>
      </c>
      <c r="J19" s="5">
        <f t="shared" si="3"/>
        <v>148.11980052350523</v>
      </c>
      <c r="K19" s="5">
        <f t="shared" si="3"/>
        <v>151.08219653397535</v>
      </c>
      <c r="L19" s="5">
        <f t="shared" si="3"/>
        <v>154.1038404646549</v>
      </c>
      <c r="M19" s="5">
        <f t="shared" si="3"/>
        <v>157.18591727394798</v>
      </c>
      <c r="N19" s="5">
        <f t="shared" si="3"/>
        <v>160.32963561942694</v>
      </c>
      <c r="O19" s="5">
        <f t="shared" si="3"/>
        <v>163.5362283318155</v>
      </c>
      <c r="P19" s="5">
        <f t="shared" si="3"/>
        <v>166.8069528984518</v>
      </c>
      <c r="Q19" s="5">
        <f t="shared" si="3"/>
        <v>170.14309195642082</v>
      </c>
      <c r="R19" s="16"/>
      <c r="S19" s="16"/>
      <c r="T19" s="16"/>
      <c r="U19" s="16"/>
      <c r="V19" s="16"/>
      <c r="W19" s="16"/>
      <c r="X19" s="16"/>
      <c r="Y19" s="16"/>
      <c r="Z19" s="16"/>
      <c r="AA19" s="16"/>
      <c r="AB19" s="16"/>
      <c r="AC19" s="16"/>
      <c r="AD19" s="16"/>
      <c r="AE19" s="16"/>
      <c r="AF19" s="16"/>
      <c r="AG19" s="16"/>
    </row>
    <row r="20" spans="1:33" ht="12.75" customHeight="1">
      <c r="A20" s="146"/>
      <c r="B20" s="137"/>
      <c r="C20" s="138"/>
      <c r="D20" s="138"/>
      <c r="E20" s="138"/>
      <c r="F20" s="138"/>
      <c r="G20" s="138"/>
      <c r="H20" s="138"/>
      <c r="I20" s="138"/>
      <c r="J20" s="138"/>
      <c r="K20" s="138"/>
      <c r="L20" s="138"/>
      <c r="M20" s="138"/>
      <c r="N20" s="138"/>
      <c r="O20" s="138"/>
      <c r="P20" s="138"/>
      <c r="Q20" s="138"/>
      <c r="R20" s="16"/>
      <c r="S20" s="16"/>
      <c r="T20" s="16"/>
      <c r="U20" s="16"/>
      <c r="V20" s="16"/>
      <c r="W20" s="16"/>
      <c r="X20" s="16"/>
      <c r="Y20" s="16"/>
      <c r="Z20" s="16"/>
      <c r="AA20" s="16"/>
      <c r="AB20" s="16"/>
      <c r="AC20" s="16"/>
      <c r="AD20" s="16"/>
      <c r="AE20" s="16"/>
      <c r="AF20" s="16"/>
      <c r="AG20" s="16"/>
    </row>
    <row r="21" spans="1:33" ht="12" customHeight="1">
      <c r="A21" s="146"/>
      <c r="B21" s="45" t="s">
        <v>41</v>
      </c>
      <c r="C21" s="48">
        <f>C19-C18</f>
        <v>-215.545</v>
      </c>
      <c r="D21" s="48">
        <f>D19-D18</f>
        <v>131.526144</v>
      </c>
      <c r="E21" s="48">
        <f aca="true" t="shared" si="4" ref="E21:Q21">E19-E18</f>
        <v>134.15666688000002</v>
      </c>
      <c r="F21" s="48">
        <f t="shared" si="4"/>
        <v>136.83980021760001</v>
      </c>
      <c r="G21" s="48">
        <f t="shared" si="4"/>
        <v>139.57659622195197</v>
      </c>
      <c r="H21" s="48">
        <f t="shared" si="4"/>
        <v>-73.17687185360893</v>
      </c>
      <c r="I21" s="48">
        <f t="shared" si="4"/>
        <v>145.21549070931889</v>
      </c>
      <c r="J21" s="48">
        <f t="shared" si="4"/>
        <v>148.11980052350523</v>
      </c>
      <c r="K21" s="48">
        <f t="shared" si="4"/>
        <v>151.08219653397535</v>
      </c>
      <c r="L21" s="48">
        <f t="shared" si="4"/>
        <v>154.1038404646549</v>
      </c>
      <c r="M21" s="48">
        <f t="shared" si="4"/>
        <v>-58.35908272605201</v>
      </c>
      <c r="N21" s="48">
        <f t="shared" si="4"/>
        <v>160.32963561942694</v>
      </c>
      <c r="O21" s="48">
        <f t="shared" si="4"/>
        <v>163.5362283318155</v>
      </c>
      <c r="P21" s="48">
        <f t="shared" si="4"/>
        <v>166.8069528984518</v>
      </c>
      <c r="Q21" s="48">
        <f t="shared" si="4"/>
        <v>170.14309195642082</v>
      </c>
      <c r="R21" s="16"/>
      <c r="S21" s="16"/>
      <c r="T21" s="16"/>
      <c r="U21" s="16"/>
      <c r="V21" s="16"/>
      <c r="W21" s="16"/>
      <c r="X21" s="16"/>
      <c r="Y21" s="16"/>
      <c r="Z21" s="16"/>
      <c r="AA21" s="16"/>
      <c r="AB21" s="16"/>
      <c r="AC21" s="16"/>
      <c r="AD21" s="16"/>
      <c r="AE21" s="16"/>
      <c r="AF21" s="16"/>
      <c r="AG21" s="16"/>
    </row>
    <row r="22" spans="1:33" ht="15">
      <c r="A22" s="146"/>
      <c r="B22" s="45" t="s">
        <v>42</v>
      </c>
      <c r="C22" s="48">
        <f>C21</f>
        <v>-215.545</v>
      </c>
      <c r="D22" s="48">
        <f>C22+D21</f>
        <v>-84.018856</v>
      </c>
      <c r="E22" s="48">
        <f>D22+E21</f>
        <v>50.13781088000002</v>
      </c>
      <c r="F22" s="48">
        <f>E22+F21</f>
        <v>186.97761109760003</v>
      </c>
      <c r="G22" s="48">
        <f>F22+G21</f>
        <v>326.554207319552</v>
      </c>
      <c r="H22" s="48">
        <f aca="true" t="shared" si="5" ref="H22:Q22">G22+H21</f>
        <v>253.37733546594308</v>
      </c>
      <c r="I22" s="48">
        <f t="shared" si="5"/>
        <v>398.59282617526196</v>
      </c>
      <c r="J22" s="48">
        <f t="shared" si="5"/>
        <v>546.7126266987672</v>
      </c>
      <c r="K22" s="48">
        <f t="shared" si="5"/>
        <v>697.7948232327425</v>
      </c>
      <c r="L22" s="48">
        <f t="shared" si="5"/>
        <v>851.8986636973974</v>
      </c>
      <c r="M22" s="48">
        <f t="shared" si="5"/>
        <v>793.5395809713455</v>
      </c>
      <c r="N22" s="48">
        <f t="shared" si="5"/>
        <v>953.8692165907723</v>
      </c>
      <c r="O22" s="48">
        <f t="shared" si="5"/>
        <v>1117.4054449225878</v>
      </c>
      <c r="P22" s="48">
        <f t="shared" si="5"/>
        <v>1284.2123978210395</v>
      </c>
      <c r="Q22" s="48">
        <f t="shared" si="5"/>
        <v>1454.3554897774604</v>
      </c>
      <c r="R22" s="16"/>
      <c r="S22" s="16"/>
      <c r="T22" s="16"/>
      <c r="U22" s="16"/>
      <c r="V22" s="16"/>
      <c r="W22" s="16"/>
      <c r="X22" s="16"/>
      <c r="Y22" s="16"/>
      <c r="Z22" s="16"/>
      <c r="AA22" s="16"/>
      <c r="AB22" s="16"/>
      <c r="AC22" s="16"/>
      <c r="AD22" s="16"/>
      <c r="AE22" s="16"/>
      <c r="AF22" s="16"/>
      <c r="AG22" s="16"/>
    </row>
    <row r="23" spans="1:33" ht="15">
      <c r="A23" s="146"/>
      <c r="B23" s="96" t="s">
        <v>116</v>
      </c>
      <c r="C23" s="4"/>
      <c r="D23" s="108">
        <f>Assumptions!N29</f>
        <v>0.0049</v>
      </c>
      <c r="E23" s="108">
        <f>Assumptions!O29</f>
        <v>0.0206</v>
      </c>
      <c r="F23" s="108">
        <f>Assumptions!P29</f>
        <v>0.0326</v>
      </c>
      <c r="G23" s="108">
        <f>Assumptions!Q29</f>
        <v>0.0369</v>
      </c>
      <c r="H23" s="108">
        <f>Assumptions!R29</f>
        <v>0.0369</v>
      </c>
      <c r="I23" s="108">
        <f>Assumptions!S29</f>
        <v>0.04411422279684998</v>
      </c>
      <c r="J23" s="108">
        <f>Assumptions!T29</f>
        <v>0.04739115794861784</v>
      </c>
      <c r="K23" s="108">
        <f>Assumptions!U29</f>
        <v>0.05022976829302995</v>
      </c>
      <c r="L23" s="108">
        <f>Assumptions!V29</f>
        <v>0.052733600065013354</v>
      </c>
      <c r="M23" s="108">
        <f>Assumptions!W29</f>
        <v>0.05497335390686743</v>
      </c>
      <c r="N23" s="108">
        <f>Assumptions!X29</f>
        <v>0.05699945770914776</v>
      </c>
      <c r="O23" s="108">
        <f>Assumptions!Y29</f>
        <v>0.05884914556119331</v>
      </c>
      <c r="P23" s="108">
        <f>Assumptions!Z29</f>
        <v>0.06055069344091734</v>
      </c>
      <c r="Q23" s="108">
        <f>Assumptions!AA29</f>
        <v>0.06212608071296116</v>
      </c>
      <c r="R23" s="16"/>
      <c r="S23" s="16"/>
      <c r="T23" s="16"/>
      <c r="U23" s="16"/>
      <c r="V23" s="16"/>
      <c r="W23" s="16"/>
      <c r="X23" s="16"/>
      <c r="Y23" s="16"/>
      <c r="Z23" s="16"/>
      <c r="AA23" s="16"/>
      <c r="AB23" s="16"/>
      <c r="AC23" s="16"/>
      <c r="AD23" s="16"/>
      <c r="AE23" s="16"/>
      <c r="AF23" s="16"/>
      <c r="AG23" s="16"/>
    </row>
    <row r="24" spans="1:33" ht="15">
      <c r="A24" s="146"/>
      <c r="B24" s="96" t="s">
        <v>117</v>
      </c>
      <c r="C24" s="4"/>
      <c r="D24" s="108">
        <f>'Input Page'!C18</f>
        <v>0</v>
      </c>
      <c r="E24" s="108">
        <f>'Input Page'!D18</f>
        <v>0</v>
      </c>
      <c r="F24" s="108">
        <f>'Input Page'!E18</f>
        <v>0</v>
      </c>
      <c r="G24" s="108">
        <f>'Input Page'!F18</f>
        <v>0</v>
      </c>
      <c r="H24" s="108">
        <f>'Input Page'!G18</f>
        <v>0</v>
      </c>
      <c r="I24" s="108">
        <f>'Input Page'!H18</f>
        <v>0</v>
      </c>
      <c r="J24" s="108">
        <f>'Input Page'!I18</f>
        <v>0</v>
      </c>
      <c r="K24" s="108">
        <f>'Input Page'!J18</f>
        <v>0</v>
      </c>
      <c r="L24" s="108">
        <f>'Input Page'!K18</f>
        <v>0</v>
      </c>
      <c r="M24" s="108">
        <f>'Input Page'!L18</f>
        <v>0</v>
      </c>
      <c r="N24" s="108">
        <f>'Input Page'!M18</f>
        <v>0</v>
      </c>
      <c r="O24" s="108">
        <f>'Input Page'!N18</f>
        <v>0</v>
      </c>
      <c r="P24" s="108">
        <f>'Input Page'!O18</f>
        <v>0</v>
      </c>
      <c r="Q24" s="108">
        <f>'Input Page'!P18</f>
        <v>0</v>
      </c>
      <c r="R24" s="16"/>
      <c r="S24" s="16"/>
      <c r="T24" s="16"/>
      <c r="U24" s="16"/>
      <c r="V24" s="16"/>
      <c r="W24" s="16"/>
      <c r="X24" s="16"/>
      <c r="Y24" s="16"/>
      <c r="Z24" s="16"/>
      <c r="AA24" s="16"/>
      <c r="AB24" s="16"/>
      <c r="AC24" s="16"/>
      <c r="AD24" s="16"/>
      <c r="AE24" s="16"/>
      <c r="AF24" s="16"/>
      <c r="AG24" s="16"/>
    </row>
    <row r="25" spans="1:33" ht="15">
      <c r="A25" s="146"/>
      <c r="B25" s="45" t="s">
        <v>115</v>
      </c>
      <c r="C25" s="48">
        <f>C21</f>
        <v>-215.545</v>
      </c>
      <c r="D25" s="48">
        <f>D21/(1+(D23))</f>
        <v>130.88480843865062</v>
      </c>
      <c r="E25" s="48">
        <f>E21/(1+E23)/(1+D23/100)</f>
        <v>131.4423804873773</v>
      </c>
      <c r="F25" s="48">
        <f>F21/((1+(F23/100))*(1+(E23/100))*(1+(D23/100)))</f>
        <v>136.76032971623985</v>
      </c>
      <c r="G25" s="48">
        <f>G21/((1+(G23/100))*(1+(F23/100))*(1+(D23/100))*(1+(E23/100)))</f>
        <v>139.4440814445116</v>
      </c>
      <c r="H25" s="48">
        <f>H21/((1+(H23/100))*(1+(G23/100))*(1+(D23/100))*(1+(F23/100))*(1+(E23/100)))</f>
        <v>-73.08043065568778</v>
      </c>
      <c r="I25" s="48">
        <f>I21/((1+($I$23/100))*(1+($H$23/100))*(1+($D$23/100))*(1+($G$23/100))*(1+($F$23/100))*(1+($E$23/100)))</f>
        <v>144.96016039073456</v>
      </c>
      <c r="J25" s="48">
        <f>J21/((1+($I$23/100))*(1+($H$23/100))*(1+($D$23/100))*(1+($G$23/100))*(1+($F$23/100))*(1+($E$23/100))*(1+($J$23/100)))</f>
        <v>147.78932452633174</v>
      </c>
      <c r="K25" s="48">
        <f>K21/((1+($I$23/100))*(1+($H$23/100))*(1+($D$23/100))*(1+($G$23/100))*(1+($F$23/100))*(1+($E$23/100))*(1+($J$23/100))*(1+($K$23/100)))</f>
        <v>150.6694301112251</v>
      </c>
      <c r="L25" s="48">
        <f>L21/((1+($I$23/100))*(1+($H$23/100))*(1+($D$23/100))*(1+($G$23/100))*(1+($F$23/100))*(1+($E$23/100))*(1+($J$23/100))*(1+($K$23/100))*(1+($L$23/100)))</f>
        <v>153.6018189445548</v>
      </c>
      <c r="M25" s="48">
        <f>M21/((1+($I$23/100))*(1+($H$23/100))*(1+($D$23/100))*(1+($G$23/100))*(1+($F$23/100))*(1+($E$23/100))*(1+($J$23/100))*(1+($K$23/100))*(1+($L$23/100))*(1+($M$23/100)))</f>
        <v>-58.137007449242454</v>
      </c>
      <c r="N25" s="48">
        <f>N21/((1+($I$23/100))*(1+($H$23/100))*(1+($D$23/100))*(1+($G$23/100))*(1+($F$23/100))*(1+($E$23/100))*(1+($J$23/100))*(1+($K$23/100))*(1+($L$23/100))*(1+($M$23/100))*(1+($N$23/100)))</f>
        <v>159.62854184464254</v>
      </c>
      <c r="O25" s="48">
        <f>O21/((1+($I$23/100))*(1+($H$23/100))*(1+($D$23/100))*(1+($G$23/100))*(1+($F$23/100))*(1+($E$23/100))*(1+($J$23/100))*(1+($K$23/100))*(1+($L$23/100))*(1+($M$23/100))*(1+($N$23/100))*(1+($O$23/100)))</f>
        <v>162.7253502033293</v>
      </c>
      <c r="P25" s="48">
        <f>P21/((1+($I$23/100))*(1+($H$23/100))*(1+($D$23/100))*(1+($G$23/100))*(1+($F$23/100))*(1+($E$23/100))*(1+($J$23/100))*(1+($K$23/100))*(1+($L$23/100))*(1+($M$23/100))*(1+($N$23/100))*(1+($O$23/100))*(1+($P$23/100)))</f>
        <v>165.87941607068936</v>
      </c>
      <c r="Q25" s="48">
        <f>Q21/((1+($I$23/100))*(1+($H$23/100))*(1+($D$23/100))*(1+($G$23/100))*(1+($F$23/100))*(1+($E$23/100))*(1+($J$23/100))*(1+($K$23/100))*(1+($L$23/100))*(1+($M$23/100))*(1+($N$23/100))*(1+($O$23/100))*(1+($P$23/100))*(1+($Q$23/100)))</f>
        <v>169.09195418816503</v>
      </c>
      <c r="R25" s="16"/>
      <c r="S25" s="16"/>
      <c r="T25" s="16"/>
      <c r="U25" s="16"/>
      <c r="V25" s="16"/>
      <c r="W25" s="16"/>
      <c r="X25" s="16"/>
      <c r="Y25" s="16"/>
      <c r="Z25" s="16"/>
      <c r="AA25" s="16"/>
      <c r="AB25" s="16"/>
      <c r="AC25" s="16"/>
      <c r="AD25" s="16"/>
      <c r="AE25" s="16"/>
      <c r="AF25" s="16"/>
      <c r="AG25" s="16"/>
    </row>
    <row r="26" spans="1:33" ht="15">
      <c r="A26" s="146"/>
      <c r="B26" s="45" t="s">
        <v>114</v>
      </c>
      <c r="C26" s="48">
        <f>C21</f>
        <v>-215.545</v>
      </c>
      <c r="D26" s="48">
        <f>D21/(1+D24)</f>
        <v>131.526144</v>
      </c>
      <c r="E26" s="48">
        <f>E21/(1+E24)/(1+D24)</f>
        <v>134.15666688000002</v>
      </c>
      <c r="F26" s="48">
        <f>F21/(1+F24)/(1+E24)/(1+D24)</f>
        <v>136.83980021760001</v>
      </c>
      <c r="G26" s="48">
        <f>G21/(1+G24)/(1+F24)/(1+E24)/(D24+1)</f>
        <v>139.57659622195197</v>
      </c>
      <c r="H26" s="48">
        <f>H21/(H24+1)/(G24+1)/(F24+1)/(E24+1)/(D24+1)</f>
        <v>-73.17687185360893</v>
      </c>
      <c r="I26" s="48">
        <f>I21/(I24+1)/(H24+1)/(G24+1)/(F24+1)/(E24+1)/(D24+1)</f>
        <v>145.21549070931889</v>
      </c>
      <c r="J26" s="48">
        <f>J21/(1+J24)/(I24+1)/(H24+1)/(G24+1)/(F24+1)/(E24+1)/(D24+1)</f>
        <v>148.11980052350523</v>
      </c>
      <c r="K26" s="48">
        <f>K21/(K24+1)/(J24+1)/(I24+1)/(H24+1)/(G24+1)/(F24+1)/(E24+1)/(D24+1)</f>
        <v>151.08219653397535</v>
      </c>
      <c r="L26" s="48">
        <f>L21/(L24+1)/(K24+1)/(J24+1)/(I24+1)/(H24+1)/(G24+1)/(F24+1)/(E24+1)/(D24+1)</f>
        <v>154.1038404646549</v>
      </c>
      <c r="M26" s="48">
        <f>M21/(M24+1)/(L24+1)/(K24+1)/(J24+1)/(I24+1)/(H24+1)/(G24+1)/(F24+1)/(E24+1)/(D24+1)</f>
        <v>-58.35908272605201</v>
      </c>
      <c r="N26" s="48">
        <f>N21/(N24+1)/(M24+1)/(L24+1)/(K24+1)/(J24+1)/(I24+1)/(H24+1)/(G24+1)/(F24+1)/(E24+1)/(D24+1)</f>
        <v>160.32963561942694</v>
      </c>
      <c r="O26" s="48">
        <f>O21/(O24+1)/(N24+1)/(M24+1)/(L24+1)/(K24+1)/(J24+1)/(I24+1)/(H24+1)/(1+G24)/(F24+1)/(E24+1)/(D24+1)</f>
        <v>163.5362283318155</v>
      </c>
      <c r="P26" s="48">
        <f>P21/(P24+1)/(O24+1)/(N24+1)/(M24+1)/(L24+1)/(K24+1)/(J24+1)/(I24+1)/(H24+1)/(G24+1)/(F24+1)/(E24+1)/(D24+1)</f>
        <v>166.8069528984518</v>
      </c>
      <c r="Q26" s="48">
        <f>Q21/(Q24+1)/(P24+1)/(O24+1)/(N24+1)/(M24+1)/(L24+1)/(K24+1)/(J24+1)/(I24+1)/(H24+1)/(G24+1)/(F24+1)/(E24+1)/(D24+1)</f>
        <v>170.14309195642082</v>
      </c>
      <c r="R26" s="16"/>
      <c r="S26" s="16"/>
      <c r="T26" s="16"/>
      <c r="U26" s="16"/>
      <c r="V26" s="16"/>
      <c r="W26" s="16"/>
      <c r="X26" s="16"/>
      <c r="Y26" s="16"/>
      <c r="Z26" s="16"/>
      <c r="AA26" s="16"/>
      <c r="AB26" s="16"/>
      <c r="AC26" s="16"/>
      <c r="AD26" s="16"/>
      <c r="AE26" s="16"/>
      <c r="AF26" s="16"/>
      <c r="AG26" s="16"/>
    </row>
    <row r="27" spans="1:33" ht="14.25" customHeight="1">
      <c r="A27" s="146"/>
      <c r="B27" s="139"/>
      <c r="C27" s="140"/>
      <c r="D27" s="140"/>
      <c r="E27" s="140"/>
      <c r="F27" s="140"/>
      <c r="G27" s="140"/>
      <c r="H27" s="140"/>
      <c r="I27" s="140"/>
      <c r="J27" s="140"/>
      <c r="K27" s="140"/>
      <c r="L27" s="140"/>
      <c r="M27" s="140"/>
      <c r="N27" s="140"/>
      <c r="O27" s="140"/>
      <c r="P27" s="140"/>
      <c r="Q27" s="140"/>
      <c r="R27" s="16"/>
      <c r="S27" s="16"/>
      <c r="T27" s="16"/>
      <c r="U27" s="16"/>
      <c r="V27" s="16"/>
      <c r="W27" s="16"/>
      <c r="X27" s="16"/>
      <c r="Y27" s="16"/>
      <c r="Z27" s="16"/>
      <c r="AA27" s="16"/>
      <c r="AB27" s="16"/>
      <c r="AC27" s="16"/>
      <c r="AD27" s="16"/>
      <c r="AE27" s="16"/>
      <c r="AF27" s="16"/>
      <c r="AG27" s="16"/>
    </row>
    <row r="28" spans="1:33" ht="15">
      <c r="A28" s="147"/>
      <c r="B28" s="9" t="s">
        <v>118</v>
      </c>
      <c r="C28" s="5">
        <f>SUM(C25:Q25)</f>
        <v>1446.1151582615216</v>
      </c>
      <c r="D28" s="54"/>
      <c r="E28" s="54"/>
      <c r="G28" s="110"/>
      <c r="H28" s="110"/>
      <c r="I28" s="110"/>
      <c r="J28" s="110"/>
      <c r="K28" s="111"/>
      <c r="L28" s="111"/>
      <c r="M28" s="54"/>
      <c r="N28" s="54"/>
      <c r="O28" s="54"/>
      <c r="P28" s="54"/>
      <c r="Q28" s="54"/>
      <c r="R28" s="16"/>
      <c r="S28" s="16"/>
      <c r="T28" s="16"/>
      <c r="U28" s="16"/>
      <c r="V28" s="16"/>
      <c r="W28" s="16"/>
      <c r="X28" s="16"/>
      <c r="Y28" s="16"/>
      <c r="Z28" s="16"/>
      <c r="AA28" s="16"/>
      <c r="AB28" s="16"/>
      <c r="AC28" s="16"/>
      <c r="AD28" s="16"/>
      <c r="AE28" s="16"/>
      <c r="AF28" s="16"/>
      <c r="AG28" s="16"/>
    </row>
    <row r="29" spans="1:33" ht="15">
      <c r="A29" s="147"/>
      <c r="B29" s="9" t="s">
        <v>119</v>
      </c>
      <c r="C29" s="5">
        <f>SUM(C26:Q26)</f>
        <v>1454.3554897774604</v>
      </c>
      <c r="D29" s="54"/>
      <c r="E29" s="54"/>
      <c r="F29" s="54"/>
      <c r="G29" s="149"/>
      <c r="H29" s="149"/>
      <c r="I29" s="149"/>
      <c r="J29" s="149"/>
      <c r="K29" s="149"/>
      <c r="L29" s="111"/>
      <c r="M29" s="54"/>
      <c r="N29" s="54"/>
      <c r="O29" s="54"/>
      <c r="P29" s="54"/>
      <c r="Q29" s="54"/>
      <c r="R29" s="16"/>
      <c r="S29" s="16"/>
      <c r="T29" s="16"/>
      <c r="U29" s="16"/>
      <c r="V29" s="16"/>
      <c r="W29" s="16"/>
      <c r="X29" s="16"/>
      <c r="Y29" s="16"/>
      <c r="Z29" s="16"/>
      <c r="AA29" s="16"/>
      <c r="AB29" s="16"/>
      <c r="AC29" s="16"/>
      <c r="AD29" s="16"/>
      <c r="AE29" s="16"/>
      <c r="AF29" s="16"/>
      <c r="AG29" s="16"/>
    </row>
    <row r="30" spans="1:33" ht="15">
      <c r="A30" s="147"/>
      <c r="B30" s="9" t="s">
        <v>47</v>
      </c>
      <c r="C30" s="5">
        <f>Q22</f>
        <v>1454.3554897774604</v>
      </c>
      <c r="D30" s="54"/>
      <c r="E30" s="54"/>
      <c r="F30" s="54"/>
      <c r="G30" s="149"/>
      <c r="H30" s="149"/>
      <c r="I30" s="149"/>
      <c r="J30" s="149"/>
      <c r="K30" s="149"/>
      <c r="L30" s="111"/>
      <c r="M30" s="54"/>
      <c r="N30" s="54"/>
      <c r="O30" s="54"/>
      <c r="P30" s="54"/>
      <c r="Q30" s="54"/>
      <c r="R30" s="16"/>
      <c r="S30" s="16"/>
      <c r="T30" s="16"/>
      <c r="U30" s="16"/>
      <c r="V30" s="16"/>
      <c r="W30" s="16"/>
      <c r="X30" s="16"/>
      <c r="Y30" s="16"/>
      <c r="Z30" s="16"/>
      <c r="AA30" s="16"/>
      <c r="AB30" s="16"/>
      <c r="AC30" s="16"/>
      <c r="AD30" s="16"/>
      <c r="AE30" s="16"/>
      <c r="AF30" s="16"/>
      <c r="AG30" s="16"/>
    </row>
    <row r="31" spans="1:33" ht="15" customHeight="1">
      <c r="A31" s="147"/>
      <c r="B31" s="9" t="s">
        <v>72</v>
      </c>
      <c r="C31" s="112">
        <f>IRR(C21:H21)</f>
        <v>0.46400866226046417</v>
      </c>
      <c r="D31" s="16"/>
      <c r="E31" s="52"/>
      <c r="F31" s="16"/>
      <c r="G31" s="149"/>
      <c r="H31" s="149"/>
      <c r="I31" s="149"/>
      <c r="J31" s="149"/>
      <c r="K31" s="149"/>
      <c r="L31" s="97"/>
      <c r="M31" s="16"/>
      <c r="N31" s="16"/>
      <c r="O31" s="16"/>
      <c r="P31" s="16"/>
      <c r="Q31" s="16"/>
      <c r="R31" s="16"/>
      <c r="S31" s="16"/>
      <c r="T31" s="16"/>
      <c r="U31" s="16"/>
      <c r="V31" s="16"/>
      <c r="W31" s="16"/>
      <c r="X31" s="16"/>
      <c r="Y31" s="16"/>
      <c r="Z31" s="16"/>
      <c r="AA31" s="16"/>
      <c r="AB31" s="16"/>
      <c r="AC31" s="16"/>
      <c r="AD31" s="16"/>
      <c r="AE31" s="16"/>
      <c r="AF31" s="16"/>
      <c r="AG31" s="16"/>
    </row>
    <row r="32" spans="1:33" ht="15">
      <c r="A32" s="147"/>
      <c r="B32" s="9" t="s">
        <v>35</v>
      </c>
      <c r="C32" s="112">
        <f>IRR(C21:M21)</f>
        <v>0.5560652128361697</v>
      </c>
      <c r="D32" s="16"/>
      <c r="E32" s="52"/>
      <c r="F32" s="16"/>
      <c r="G32" s="149"/>
      <c r="H32" s="149"/>
      <c r="I32" s="149"/>
      <c r="J32" s="149"/>
      <c r="K32" s="149"/>
      <c r="L32" s="97"/>
      <c r="M32" s="16"/>
      <c r="N32" s="16"/>
      <c r="O32" s="16"/>
      <c r="P32" s="16"/>
      <c r="Q32" s="16"/>
      <c r="R32" s="16"/>
      <c r="S32" s="16"/>
      <c r="T32" s="16"/>
      <c r="U32" s="16"/>
      <c r="V32" s="16"/>
      <c r="W32" s="16"/>
      <c r="X32" s="16"/>
      <c r="Y32" s="16"/>
      <c r="Z32" s="16"/>
      <c r="AA32" s="16"/>
      <c r="AB32" s="16"/>
      <c r="AC32" s="16"/>
      <c r="AD32" s="16"/>
      <c r="AE32" s="16"/>
      <c r="AF32" s="16"/>
      <c r="AG32" s="16"/>
    </row>
    <row r="33" spans="1:33" ht="15" customHeight="1">
      <c r="A33" s="147"/>
      <c r="B33" s="9" t="s">
        <v>37</v>
      </c>
      <c r="C33" s="112">
        <f>IRR(C21:Q21)</f>
        <v>0.56436646062536</v>
      </c>
      <c r="D33" s="16"/>
      <c r="E33" s="16"/>
      <c r="F33" s="16"/>
      <c r="G33" s="97"/>
      <c r="H33" s="97"/>
      <c r="I33" s="97"/>
      <c r="J33" s="97"/>
      <c r="K33" s="97"/>
      <c r="L33" s="97"/>
      <c r="M33" s="16"/>
      <c r="N33" s="16"/>
      <c r="O33" s="16"/>
      <c r="P33" s="16"/>
      <c r="Q33" s="16"/>
      <c r="R33" s="16"/>
      <c r="S33" s="16"/>
      <c r="T33" s="16"/>
      <c r="U33" s="16"/>
      <c r="V33" s="16"/>
      <c r="W33" s="16"/>
      <c r="X33" s="16"/>
      <c r="Y33" s="16"/>
      <c r="Z33" s="16"/>
      <c r="AA33" s="16"/>
      <c r="AB33" s="16"/>
      <c r="AC33" s="16"/>
      <c r="AD33" s="16"/>
      <c r="AE33" s="16"/>
      <c r="AF33" s="16"/>
      <c r="AG33" s="16"/>
    </row>
    <row r="34" spans="1:33" ht="15">
      <c r="A34" s="147"/>
      <c r="B34" s="9" t="s">
        <v>104</v>
      </c>
      <c r="C34" s="5">
        <f>-(C21+D21)/E21+1</f>
        <v>1.6262741759613997</v>
      </c>
      <c r="D34" s="16"/>
      <c r="E34" s="16"/>
      <c r="F34" s="97"/>
      <c r="G34" s="97"/>
      <c r="H34" s="97"/>
      <c r="I34" s="97"/>
      <c r="J34" s="97"/>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2.75" customHeight="1" thickBot="1">
      <c r="A35" s="148"/>
      <c r="B35" s="137"/>
      <c r="C35" s="138"/>
      <c r="D35" s="138"/>
      <c r="E35" s="138"/>
      <c r="F35" s="138"/>
      <c r="G35" s="138"/>
      <c r="H35" s="138"/>
      <c r="I35" s="138"/>
      <c r="J35" s="138"/>
      <c r="K35" s="138"/>
      <c r="L35" s="138"/>
      <c r="M35" s="138"/>
      <c r="N35" s="138"/>
      <c r="O35" s="138"/>
      <c r="P35" s="138"/>
      <c r="Q35" s="138"/>
      <c r="R35" s="16"/>
      <c r="S35" s="16"/>
      <c r="T35" s="16"/>
      <c r="U35" s="16"/>
      <c r="V35" s="16"/>
      <c r="W35" s="16"/>
      <c r="X35" s="16"/>
      <c r="Y35" s="16"/>
      <c r="Z35" s="16"/>
      <c r="AA35" s="16"/>
      <c r="AB35" s="16"/>
      <c r="AC35" s="16"/>
      <c r="AD35" s="16"/>
      <c r="AE35" s="16"/>
      <c r="AF35" s="16"/>
      <c r="AG35" s="16"/>
    </row>
    <row r="36" spans="1:33" ht="17.25" customHeight="1" thickBot="1">
      <c r="A36" s="94"/>
      <c r="C36" s="80" t="s">
        <v>82</v>
      </c>
      <c r="D36" s="80" t="s">
        <v>83</v>
      </c>
      <c r="E36" s="80" t="s">
        <v>84</v>
      </c>
      <c r="F36" s="80" t="s">
        <v>85</v>
      </c>
      <c r="G36" s="80" t="s">
        <v>86</v>
      </c>
      <c r="H36" s="80" t="s">
        <v>87</v>
      </c>
      <c r="I36" s="80" t="s">
        <v>73</v>
      </c>
      <c r="J36" s="80" t="s">
        <v>74</v>
      </c>
      <c r="K36" s="80" t="s">
        <v>75</v>
      </c>
      <c r="L36" s="80" t="s">
        <v>76</v>
      </c>
      <c r="M36" s="80" t="s">
        <v>77</v>
      </c>
      <c r="N36" s="80" t="s">
        <v>78</v>
      </c>
      <c r="O36" s="80" t="s">
        <v>79</v>
      </c>
      <c r="P36" s="80" t="s">
        <v>80</v>
      </c>
      <c r="Q36" s="80" t="s">
        <v>81</v>
      </c>
      <c r="R36" s="16"/>
      <c r="S36" s="16"/>
      <c r="T36" s="16"/>
      <c r="U36" s="16"/>
      <c r="V36" s="16"/>
      <c r="W36" s="16"/>
      <c r="X36" s="16"/>
      <c r="Y36" s="16"/>
      <c r="Z36" s="16"/>
      <c r="AA36" s="16"/>
      <c r="AB36" s="16"/>
      <c r="AC36" s="16"/>
      <c r="AD36" s="16"/>
      <c r="AE36" s="16"/>
      <c r="AF36" s="16"/>
      <c r="AG36" s="16"/>
    </row>
    <row r="37" spans="1:33" ht="15">
      <c r="A37" s="134" t="s">
        <v>46</v>
      </c>
      <c r="B37" s="43" t="s">
        <v>109</v>
      </c>
      <c r="C37" s="34"/>
      <c r="D37" s="63">
        <v>0.24</v>
      </c>
      <c r="E37" s="63">
        <v>0.24</v>
      </c>
      <c r="F37" s="63">
        <v>0.24</v>
      </c>
      <c r="G37" s="63">
        <v>0.24</v>
      </c>
      <c r="H37" s="63">
        <v>0.24</v>
      </c>
      <c r="I37" s="63">
        <v>0.24</v>
      </c>
      <c r="J37" s="63">
        <v>0.24</v>
      </c>
      <c r="K37" s="63">
        <v>0.24</v>
      </c>
      <c r="L37" s="63">
        <v>0.24</v>
      </c>
      <c r="M37" s="63">
        <v>0.24</v>
      </c>
      <c r="N37" s="63">
        <v>0.24</v>
      </c>
      <c r="O37" s="63">
        <v>0.24</v>
      </c>
      <c r="P37" s="63">
        <v>0.24</v>
      </c>
      <c r="Q37" s="63">
        <v>0.24</v>
      </c>
      <c r="R37" s="16"/>
      <c r="S37" s="16"/>
      <c r="T37" s="16"/>
      <c r="U37" s="16"/>
      <c r="V37" s="16"/>
      <c r="W37" s="16"/>
      <c r="X37" s="16"/>
      <c r="Y37" s="16"/>
      <c r="Z37" s="16"/>
      <c r="AA37" s="16"/>
      <c r="AB37" s="16"/>
      <c r="AC37" s="16"/>
      <c r="AD37" s="16"/>
      <c r="AE37" s="16"/>
      <c r="AF37" s="16"/>
      <c r="AG37" s="16"/>
    </row>
    <row r="38" spans="1:33" ht="15" customHeight="1">
      <c r="A38" s="135"/>
      <c r="B38" s="45" t="s">
        <v>38</v>
      </c>
      <c r="C38" s="4"/>
      <c r="D38" s="50">
        <f aca="true" t="shared" si="6" ref="D38:Q38">D7*D37</f>
        <v>840.9599999999999</v>
      </c>
      <c r="E38" s="50">
        <f t="shared" si="6"/>
        <v>840.9599999999999</v>
      </c>
      <c r="F38" s="50">
        <f t="shared" si="6"/>
        <v>840.9599999999999</v>
      </c>
      <c r="G38" s="50">
        <f t="shared" si="6"/>
        <v>840.9599999999999</v>
      </c>
      <c r="H38" s="50">
        <f t="shared" si="6"/>
        <v>840.9599999999999</v>
      </c>
      <c r="I38" s="50">
        <f t="shared" si="6"/>
        <v>840.9599999999999</v>
      </c>
      <c r="J38" s="50">
        <f t="shared" si="6"/>
        <v>840.9599999999999</v>
      </c>
      <c r="K38" s="50">
        <f t="shared" si="6"/>
        <v>840.9599999999999</v>
      </c>
      <c r="L38" s="50">
        <f t="shared" si="6"/>
        <v>840.9599999999999</v>
      </c>
      <c r="M38" s="50">
        <f t="shared" si="6"/>
        <v>840.9599999999999</v>
      </c>
      <c r="N38" s="50">
        <f t="shared" si="6"/>
        <v>840.9599999999999</v>
      </c>
      <c r="O38" s="50">
        <f t="shared" si="6"/>
        <v>840.9599999999999</v>
      </c>
      <c r="P38" s="50">
        <f t="shared" si="6"/>
        <v>840.9599999999999</v>
      </c>
      <c r="Q38" s="50">
        <f t="shared" si="6"/>
        <v>840.9599999999999</v>
      </c>
      <c r="R38" s="16"/>
      <c r="S38" s="16"/>
      <c r="T38" s="16"/>
      <c r="U38" s="16"/>
      <c r="V38" s="16"/>
      <c r="W38" s="16"/>
      <c r="X38" s="16"/>
      <c r="Y38" s="16"/>
      <c r="Z38" s="16"/>
      <c r="AA38" s="16"/>
      <c r="AB38" s="16"/>
      <c r="AC38" s="16"/>
      <c r="AD38" s="16"/>
      <c r="AE38" s="16"/>
      <c r="AF38" s="16"/>
      <c r="AG38" s="16"/>
    </row>
    <row r="39" spans="1:33" ht="18">
      <c r="A39" s="135"/>
      <c r="B39" s="45" t="s">
        <v>39</v>
      </c>
      <c r="C39" s="4"/>
      <c r="D39" s="50">
        <f aca="true" t="shared" si="7" ref="D39:Q39">D10*D37</f>
        <v>454.1184</v>
      </c>
      <c r="E39" s="50">
        <f t="shared" si="7"/>
        <v>454.1184</v>
      </c>
      <c r="F39" s="50">
        <f t="shared" si="7"/>
        <v>454.1184</v>
      </c>
      <c r="G39" s="50">
        <f t="shared" si="7"/>
        <v>454.1184</v>
      </c>
      <c r="H39" s="50">
        <f t="shared" si="7"/>
        <v>454.1184</v>
      </c>
      <c r="I39" s="50">
        <f t="shared" si="7"/>
        <v>454.1184</v>
      </c>
      <c r="J39" s="50">
        <f t="shared" si="7"/>
        <v>454.1184</v>
      </c>
      <c r="K39" s="50">
        <f t="shared" si="7"/>
        <v>454.1184</v>
      </c>
      <c r="L39" s="50">
        <f t="shared" si="7"/>
        <v>454.1184</v>
      </c>
      <c r="M39" s="50">
        <f t="shared" si="7"/>
        <v>454.1184</v>
      </c>
      <c r="N39" s="50">
        <f t="shared" si="7"/>
        <v>454.1184</v>
      </c>
      <c r="O39" s="50">
        <f t="shared" si="7"/>
        <v>454.1184</v>
      </c>
      <c r="P39" s="50">
        <f t="shared" si="7"/>
        <v>454.1184</v>
      </c>
      <c r="Q39" s="50">
        <f t="shared" si="7"/>
        <v>454.1184</v>
      </c>
      <c r="R39" s="16"/>
      <c r="S39" s="16"/>
      <c r="T39" s="16"/>
      <c r="U39" s="16"/>
      <c r="V39" s="16"/>
      <c r="W39" s="16"/>
      <c r="X39" s="16"/>
      <c r="Y39" s="16"/>
      <c r="Z39" s="16"/>
      <c r="AA39" s="16"/>
      <c r="AB39" s="16"/>
      <c r="AC39" s="16"/>
      <c r="AD39" s="16"/>
      <c r="AE39" s="16"/>
      <c r="AF39" s="16"/>
      <c r="AG39" s="16"/>
    </row>
    <row r="40" spans="1:33" ht="18">
      <c r="A40" s="135"/>
      <c r="B40" s="45" t="s">
        <v>40</v>
      </c>
      <c r="C40" s="4"/>
      <c r="D40" s="50">
        <f>D38-D39</f>
        <v>386.8415999999999</v>
      </c>
      <c r="E40" s="50">
        <f aca="true" t="shared" si="8" ref="E40:Q40">E38-E39</f>
        <v>386.8415999999999</v>
      </c>
      <c r="F40" s="50">
        <f t="shared" si="8"/>
        <v>386.8415999999999</v>
      </c>
      <c r="G40" s="50">
        <f t="shared" si="8"/>
        <v>386.8415999999999</v>
      </c>
      <c r="H40" s="50">
        <f t="shared" si="8"/>
        <v>386.8415999999999</v>
      </c>
      <c r="I40" s="50">
        <f t="shared" si="8"/>
        <v>386.8415999999999</v>
      </c>
      <c r="J40" s="50">
        <f t="shared" si="8"/>
        <v>386.8415999999999</v>
      </c>
      <c r="K40" s="50">
        <f t="shared" si="8"/>
        <v>386.8415999999999</v>
      </c>
      <c r="L40" s="50">
        <f t="shared" si="8"/>
        <v>386.8415999999999</v>
      </c>
      <c r="M40" s="50">
        <f t="shared" si="8"/>
        <v>386.8415999999999</v>
      </c>
      <c r="N40" s="50">
        <f t="shared" si="8"/>
        <v>386.8415999999999</v>
      </c>
      <c r="O40" s="50">
        <f t="shared" si="8"/>
        <v>386.8415999999999</v>
      </c>
      <c r="P40" s="50">
        <f t="shared" si="8"/>
        <v>386.8415999999999</v>
      </c>
      <c r="Q40" s="50">
        <f t="shared" si="8"/>
        <v>386.8415999999999</v>
      </c>
      <c r="R40" s="16"/>
      <c r="S40" s="16"/>
      <c r="T40" s="16"/>
      <c r="U40" s="16"/>
      <c r="V40" s="16"/>
      <c r="W40" s="16"/>
      <c r="X40" s="16"/>
      <c r="Y40" s="16"/>
      <c r="Z40" s="16"/>
      <c r="AA40" s="16"/>
      <c r="AB40" s="16"/>
      <c r="AC40" s="16"/>
      <c r="AD40" s="16"/>
      <c r="AE40" s="16"/>
      <c r="AF40" s="16"/>
      <c r="AG40" s="16"/>
    </row>
    <row r="41" spans="1:33" ht="18.75" thickBot="1">
      <c r="A41" s="135"/>
      <c r="B41" s="46" t="s">
        <v>44</v>
      </c>
      <c r="C41" s="51"/>
      <c r="D41" s="50">
        <f>D40</f>
        <v>386.8415999999999</v>
      </c>
      <c r="E41" s="50">
        <f>D41+E40</f>
        <v>773.6831999999998</v>
      </c>
      <c r="F41" s="50">
        <f>E41+F40</f>
        <v>1160.5247999999997</v>
      </c>
      <c r="G41" s="50">
        <f aca="true" t="shared" si="9" ref="G41:Q41">F41+G40</f>
        <v>1547.3663999999997</v>
      </c>
      <c r="H41" s="50">
        <f t="shared" si="9"/>
        <v>1934.2079999999996</v>
      </c>
      <c r="I41" s="50">
        <f t="shared" si="9"/>
        <v>2321.0495999999994</v>
      </c>
      <c r="J41" s="50">
        <f t="shared" si="9"/>
        <v>2707.891199999999</v>
      </c>
      <c r="K41" s="50">
        <f t="shared" si="9"/>
        <v>3094.732799999999</v>
      </c>
      <c r="L41" s="50">
        <f t="shared" si="9"/>
        <v>3481.5743999999986</v>
      </c>
      <c r="M41" s="50">
        <f t="shared" si="9"/>
        <v>3868.4159999999983</v>
      </c>
      <c r="N41" s="50">
        <f>M41+N40</f>
        <v>4255.257599999998</v>
      </c>
      <c r="O41" s="50">
        <f t="shared" si="9"/>
        <v>4642.099199999998</v>
      </c>
      <c r="P41" s="50">
        <f t="shared" si="9"/>
        <v>5028.940799999998</v>
      </c>
      <c r="Q41" s="50">
        <f t="shared" si="9"/>
        <v>5415.782399999997</v>
      </c>
      <c r="R41" s="16"/>
      <c r="S41" s="16"/>
      <c r="T41" s="16"/>
      <c r="U41" s="16"/>
      <c r="V41" s="16"/>
      <c r="W41" s="16"/>
      <c r="X41" s="16"/>
      <c r="Y41" s="16"/>
      <c r="Z41" s="16"/>
      <c r="AA41" s="16"/>
      <c r="AB41" s="16"/>
      <c r="AC41" s="16"/>
      <c r="AD41" s="16"/>
      <c r="AE41" s="16"/>
      <c r="AF41" s="16"/>
      <c r="AG41" s="16"/>
    </row>
    <row r="42" spans="1:33" ht="15.75" thickBot="1">
      <c r="A42" s="136"/>
      <c r="B42" s="113" t="s">
        <v>45</v>
      </c>
      <c r="C42" s="53">
        <f>Q41</f>
        <v>5415.782399999997</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2:33" ht="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ht="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ht="15">
      <c r="A47" s="16" t="s">
        <v>111</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ht="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1:33"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ht="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ht="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ht="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6" spans="1:33" ht="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row>
    <row r="57" spans="1:33" ht="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ht="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ht="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ht="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ht="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ht="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ht="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ht="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row>
    <row r="69" spans="1:33" ht="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row>
    <row r="70" spans="1:33" ht="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row>
    <row r="71" spans="1:33" ht="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ht="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row>
    <row r="73" spans="1:33" ht="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row>
    <row r="74" spans="1:33" ht="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row>
    <row r="75" spans="1:33" ht="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ht="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row>
    <row r="77" spans="1:33" ht="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row>
    <row r="78" spans="1:33" ht="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row>
    <row r="79" spans="1:33"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row>
    <row r="80" spans="1:33"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row>
    <row r="81" spans="1:33"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row>
    <row r="82" spans="1:33"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row>
    <row r="83" spans="1:33"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3"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row>
    <row r="85" spans="1:33"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row>
    <row r="86" spans="1:33"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row>
    <row r="87" spans="1:33"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row>
    <row r="88" spans="1:33"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row>
    <row r="89" spans="1:33"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row>
    <row r="91" spans="1:33"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row>
    <row r="92" spans="1:33" ht="15">
      <c r="A92" s="16"/>
      <c r="B92" s="16"/>
      <c r="C92" s="16"/>
      <c r="D92" s="16"/>
      <c r="E92" s="16"/>
      <c r="F92" s="16"/>
      <c r="G92" s="16"/>
      <c r="H92" s="16"/>
      <c r="I92" s="16"/>
      <c r="J92" s="16"/>
      <c r="K92" s="16"/>
      <c r="L92" s="16"/>
      <c r="M92" s="16"/>
      <c r="N92" s="16"/>
      <c r="O92" s="16"/>
      <c r="P92" s="16"/>
      <c r="S92" s="16"/>
      <c r="T92" s="16"/>
      <c r="U92" s="16"/>
      <c r="V92" s="16"/>
      <c r="W92" s="16"/>
      <c r="X92" s="16"/>
      <c r="Y92" s="16"/>
      <c r="Z92" s="16"/>
      <c r="AA92" s="16"/>
      <c r="AB92" s="16"/>
      <c r="AC92" s="16"/>
      <c r="AD92" s="16"/>
      <c r="AE92" s="16"/>
      <c r="AF92" s="16"/>
      <c r="AG92" s="16"/>
    </row>
    <row r="93" spans="1:33" ht="15">
      <c r="A93" s="16"/>
      <c r="B93" s="16"/>
      <c r="C93" s="16"/>
      <c r="D93" s="16"/>
      <c r="E93" s="16"/>
      <c r="F93" s="16"/>
      <c r="G93" s="16"/>
      <c r="H93" s="16"/>
      <c r="I93" s="16"/>
      <c r="J93" s="16"/>
      <c r="K93" s="16"/>
      <c r="L93" s="16"/>
      <c r="M93" s="16"/>
      <c r="N93" s="16"/>
      <c r="O93" s="16"/>
      <c r="P93" s="16"/>
      <c r="S93" s="16"/>
      <c r="T93" s="16"/>
      <c r="U93" s="16"/>
      <c r="V93" s="16"/>
      <c r="W93" s="16"/>
      <c r="X93" s="16"/>
      <c r="Y93" s="16"/>
      <c r="Z93" s="16"/>
      <c r="AA93" s="16"/>
      <c r="AB93" s="16"/>
      <c r="AC93" s="16"/>
      <c r="AD93" s="16"/>
      <c r="AE93" s="16"/>
      <c r="AF93" s="16"/>
      <c r="AG93" s="16"/>
    </row>
    <row r="94" spans="1:33" ht="15">
      <c r="A94" s="16"/>
      <c r="T94" s="16"/>
      <c r="U94" s="16"/>
      <c r="V94" s="16"/>
      <c r="W94" s="16"/>
      <c r="X94" s="16"/>
      <c r="Y94" s="16"/>
      <c r="Z94" s="16"/>
      <c r="AA94" s="16"/>
      <c r="AB94" s="16"/>
      <c r="AC94" s="16"/>
      <c r="AD94" s="16"/>
      <c r="AE94" s="16"/>
      <c r="AF94" s="16"/>
      <c r="AG94" s="16"/>
    </row>
    <row r="95" spans="2:33" ht="15">
      <c r="B95" s="16"/>
      <c r="C95" s="16"/>
      <c r="D95" s="16"/>
      <c r="E95" s="16"/>
      <c r="F95" s="16"/>
      <c r="G95" s="16"/>
      <c r="H95" s="16"/>
      <c r="I95" s="16"/>
      <c r="T95" s="16"/>
      <c r="U95" s="16"/>
      <c r="V95" s="16"/>
      <c r="W95" s="16"/>
      <c r="X95" s="16"/>
      <c r="Y95" s="16"/>
      <c r="Z95" s="16"/>
      <c r="AA95" s="16"/>
      <c r="AB95" s="16"/>
      <c r="AC95" s="16"/>
      <c r="AD95" s="16"/>
      <c r="AE95" s="16"/>
      <c r="AF95" s="16"/>
      <c r="AG95" s="16"/>
    </row>
    <row r="96" spans="1:9" ht="15">
      <c r="A96" s="16"/>
      <c r="B96" s="16"/>
      <c r="C96" s="16"/>
      <c r="D96" s="16"/>
      <c r="E96" s="16"/>
      <c r="F96" s="16"/>
      <c r="G96" s="16"/>
      <c r="H96" s="16"/>
      <c r="I96" s="16"/>
    </row>
    <row r="97" spans="1:9" ht="15">
      <c r="A97" s="16"/>
      <c r="B97" s="16"/>
      <c r="C97" s="16"/>
      <c r="D97" s="16"/>
      <c r="E97" s="16"/>
      <c r="F97" s="16"/>
      <c r="G97" s="16"/>
      <c r="H97" s="16"/>
      <c r="I97" s="16"/>
    </row>
    <row r="98" spans="1:8" ht="15">
      <c r="A98" s="16"/>
      <c r="B98" s="16"/>
      <c r="C98" s="16"/>
      <c r="D98" s="16"/>
      <c r="E98" s="16"/>
      <c r="F98" s="16"/>
      <c r="G98" s="16"/>
      <c r="H98" s="16"/>
    </row>
    <row r="99" spans="1:2" ht="15">
      <c r="A99" s="16"/>
      <c r="B99" s="16"/>
    </row>
    <row r="100" ht="15">
      <c r="A100" s="16"/>
    </row>
  </sheetData>
  <sheetProtection/>
  <mergeCells count="11">
    <mergeCell ref="G32:K32"/>
    <mergeCell ref="A37:A42"/>
    <mergeCell ref="B35:Q35"/>
    <mergeCell ref="B27:Q27"/>
    <mergeCell ref="B20:Q20"/>
    <mergeCell ref="A1:Q1"/>
    <mergeCell ref="B4:H4"/>
    <mergeCell ref="A7:A35"/>
    <mergeCell ref="G29:K29"/>
    <mergeCell ref="G30:K30"/>
    <mergeCell ref="G31:K31"/>
  </mergeCells>
  <hyperlinks>
    <hyperlink ref="B15" location="warranty_assumption" display="Installation / Replacement Cost ($)"/>
    <hyperlink ref="B23" location="ROT_assumption" display="Risk Free Rate of Return (%)"/>
    <hyperlink ref="B37" location="Assumptions!B38" display="CO2 Emission Rate (kg / kWh)"/>
    <hyperlink ref="B24" location="'Input Page'!A17" display="Risk Free Rate of Return (Based on Input)"/>
  </hyperlinks>
  <printOptions/>
  <pageMargins left="0.7" right="0.7" top="0.75" bottom="0.75" header="0.3" footer="0.3"/>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1:AJ69"/>
  <sheetViews>
    <sheetView zoomScalePageLayoutView="0" workbookViewId="0" topLeftCell="A16">
      <selection activeCell="A27" sqref="A27:A30"/>
    </sheetView>
  </sheetViews>
  <sheetFormatPr defaultColWidth="8.7109375" defaultRowHeight="15"/>
  <cols>
    <col min="1" max="1" width="4.7109375" style="0" customWidth="1"/>
    <col min="2" max="3" width="6.7109375" style="0" customWidth="1"/>
    <col min="4" max="4" width="5.7109375" style="0" customWidth="1"/>
    <col min="5" max="5" width="4.28125" style="0" customWidth="1"/>
    <col min="6" max="6" width="8.140625" style="0" customWidth="1"/>
    <col min="7" max="7" width="5.28125" style="0" customWidth="1"/>
    <col min="8" max="8" width="6.421875" style="0" customWidth="1"/>
    <col min="9" max="11" width="8.7109375" style="0" customWidth="1"/>
    <col min="12" max="12" width="9.7109375" style="0" customWidth="1"/>
    <col min="13" max="13" width="5.7109375" style="0" customWidth="1"/>
    <col min="14" max="14" width="6.00390625" style="0" customWidth="1"/>
    <col min="15" max="15" width="5.7109375" style="0" bestFit="1" customWidth="1"/>
    <col min="16" max="16" width="5.7109375" style="0" customWidth="1"/>
    <col min="17" max="17" width="6.140625" style="0" customWidth="1"/>
    <col min="18" max="18" width="6.00390625" style="0" customWidth="1"/>
    <col min="19" max="19" width="7.28125" style="0" customWidth="1"/>
    <col min="20" max="20" width="6.7109375" style="0" customWidth="1"/>
    <col min="21" max="22" width="6.140625" style="0" bestFit="1" customWidth="1"/>
    <col min="23" max="24" width="6.140625" style="0" customWidth="1"/>
    <col min="25" max="26" width="6.421875" style="0" bestFit="1" customWidth="1"/>
    <col min="27" max="27" width="6.421875" style="0" customWidth="1"/>
  </cols>
  <sheetData>
    <row r="1" spans="1:36" ht="19.5" thickBot="1">
      <c r="A1" s="177" t="s">
        <v>89</v>
      </c>
      <c r="B1" s="177"/>
      <c r="C1" s="177"/>
      <c r="D1" s="177"/>
      <c r="E1" s="177"/>
      <c r="F1" s="177"/>
      <c r="G1" s="177"/>
      <c r="H1" s="177"/>
      <c r="I1" s="177"/>
      <c r="J1" s="177"/>
      <c r="K1" s="177"/>
      <c r="L1" s="177"/>
      <c r="M1" s="84"/>
      <c r="N1" s="16"/>
      <c r="O1" s="16"/>
      <c r="P1" s="16"/>
      <c r="Q1" s="16"/>
      <c r="R1" s="16"/>
      <c r="S1" s="16"/>
      <c r="T1" s="16"/>
      <c r="U1" s="16"/>
      <c r="V1" s="16"/>
      <c r="W1" s="16"/>
      <c r="X1" s="16"/>
      <c r="Y1" s="16"/>
      <c r="Z1" s="16"/>
      <c r="AA1" s="16"/>
      <c r="AB1" s="16"/>
      <c r="AC1" s="16"/>
      <c r="AD1" s="16"/>
      <c r="AE1" s="16"/>
      <c r="AF1" s="16"/>
      <c r="AG1" s="16"/>
      <c r="AH1" s="16"/>
      <c r="AI1" s="16"/>
      <c r="AJ1" s="16"/>
    </row>
    <row r="2" spans="1:36" ht="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36" ht="3" customHeight="1">
      <c r="A3" s="16"/>
      <c r="B3" s="158"/>
      <c r="C3" s="158"/>
      <c r="D3" s="16"/>
      <c r="E3" s="16"/>
      <c r="F3" s="16"/>
      <c r="G3" s="16"/>
      <c r="H3" s="16"/>
      <c r="I3" s="16"/>
      <c r="J3" s="16"/>
      <c r="K3" s="16"/>
      <c r="L3" s="16"/>
      <c r="M3" s="85"/>
      <c r="N3" s="16"/>
      <c r="O3" s="16"/>
      <c r="P3" s="16"/>
      <c r="Q3" s="16"/>
      <c r="R3" s="16"/>
      <c r="S3" s="16"/>
      <c r="T3" s="16"/>
      <c r="U3" s="16"/>
      <c r="V3" s="16"/>
      <c r="W3" s="16"/>
      <c r="X3" s="16"/>
      <c r="Y3" s="16"/>
      <c r="Z3" s="16"/>
      <c r="AA3" s="16"/>
      <c r="AB3" s="16"/>
      <c r="AC3" s="16"/>
      <c r="AD3" s="16"/>
      <c r="AE3" s="16"/>
      <c r="AF3" s="16"/>
      <c r="AG3" s="16"/>
      <c r="AH3" s="16"/>
      <c r="AI3" s="16"/>
      <c r="AJ3" s="16"/>
    </row>
    <row r="4" spans="1:36" ht="15">
      <c r="A4" s="150">
        <v>1</v>
      </c>
      <c r="B4" s="182" t="s">
        <v>91</v>
      </c>
      <c r="C4" s="156" t="s">
        <v>123</v>
      </c>
      <c r="D4" s="156"/>
      <c r="E4" s="156"/>
      <c r="F4" s="156"/>
      <c r="G4" s="156"/>
      <c r="H4" s="156"/>
      <c r="I4" s="156"/>
      <c r="J4" s="156"/>
      <c r="K4" s="156"/>
      <c r="L4" s="156"/>
      <c r="M4" s="86"/>
      <c r="N4" s="52"/>
      <c r="O4" s="16"/>
      <c r="P4" s="16"/>
      <c r="Q4" s="16"/>
      <c r="R4" s="16"/>
      <c r="S4" s="16"/>
      <c r="T4" s="16"/>
      <c r="U4" s="16"/>
      <c r="V4" s="16"/>
      <c r="W4" s="16"/>
      <c r="X4" s="16"/>
      <c r="Y4" s="16"/>
      <c r="Z4" s="16"/>
      <c r="AA4" s="16"/>
      <c r="AB4" s="16"/>
      <c r="AC4" s="16"/>
      <c r="AD4" s="16"/>
      <c r="AE4" s="16"/>
      <c r="AF4" s="16"/>
      <c r="AG4" s="16"/>
      <c r="AH4" s="16"/>
      <c r="AI4" s="16"/>
      <c r="AJ4" s="16"/>
    </row>
    <row r="5" spans="1:36" ht="30" customHeight="1" thickBot="1">
      <c r="A5" s="150"/>
      <c r="B5" s="182"/>
      <c r="C5" s="156"/>
      <c r="D5" s="156"/>
      <c r="E5" s="156"/>
      <c r="F5" s="156"/>
      <c r="G5" s="156"/>
      <c r="H5" s="156"/>
      <c r="I5" s="156"/>
      <c r="J5" s="156"/>
      <c r="K5" s="156"/>
      <c r="L5" s="156"/>
      <c r="M5" s="86"/>
      <c r="N5" s="52"/>
      <c r="O5" s="16"/>
      <c r="P5" s="16"/>
      <c r="Q5" s="16"/>
      <c r="R5" s="16"/>
      <c r="S5" s="16"/>
      <c r="T5" s="16"/>
      <c r="U5" s="16"/>
      <c r="V5" s="16"/>
      <c r="W5" s="16"/>
      <c r="X5" s="16"/>
      <c r="Y5" s="16"/>
      <c r="Z5" s="16"/>
      <c r="AA5" s="16"/>
      <c r="AB5" s="16"/>
      <c r="AC5" s="16"/>
      <c r="AD5" s="16"/>
      <c r="AE5" s="16"/>
      <c r="AF5" s="16"/>
      <c r="AG5" s="16"/>
      <c r="AH5" s="16"/>
      <c r="AI5" s="16"/>
      <c r="AJ5" s="16"/>
    </row>
    <row r="6" spans="1:36" ht="0.75" customHeight="1" hidden="1">
      <c r="A6" s="150"/>
      <c r="B6" s="182"/>
      <c r="C6" s="156"/>
      <c r="D6" s="156"/>
      <c r="E6" s="156"/>
      <c r="F6" s="156"/>
      <c r="G6" s="156"/>
      <c r="H6" s="156"/>
      <c r="I6" s="156"/>
      <c r="J6" s="156"/>
      <c r="K6" s="156"/>
      <c r="L6" s="156"/>
      <c r="M6" s="86"/>
      <c r="N6" s="52"/>
      <c r="O6" s="16"/>
      <c r="P6" s="16"/>
      <c r="Q6" s="16"/>
      <c r="R6" s="16"/>
      <c r="S6" s="16"/>
      <c r="T6" s="16"/>
      <c r="U6" s="16"/>
      <c r="V6" s="16"/>
      <c r="W6" s="16"/>
      <c r="X6" s="16"/>
      <c r="Y6" s="16"/>
      <c r="Z6" s="16"/>
      <c r="AA6" s="16"/>
      <c r="AB6" s="16"/>
      <c r="AC6" s="16"/>
      <c r="AD6" s="16"/>
      <c r="AE6" s="16"/>
      <c r="AF6" s="16"/>
      <c r="AG6" s="16"/>
      <c r="AH6" s="16"/>
      <c r="AI6" s="16"/>
      <c r="AJ6" s="16"/>
    </row>
    <row r="7" spans="1:36" ht="15">
      <c r="A7" s="178">
        <v>2</v>
      </c>
      <c r="B7" s="159">
        <v>0.46</v>
      </c>
      <c r="C7" s="162" t="s">
        <v>122</v>
      </c>
      <c r="D7" s="163"/>
      <c r="E7" s="163"/>
      <c r="F7" s="163"/>
      <c r="G7" s="163"/>
      <c r="H7" s="163"/>
      <c r="I7" s="163"/>
      <c r="J7" s="163"/>
      <c r="K7" s="163"/>
      <c r="L7" s="164"/>
      <c r="M7" s="86"/>
      <c r="N7" s="52"/>
      <c r="O7" s="16"/>
      <c r="P7" s="16"/>
      <c r="Q7" s="16"/>
      <c r="R7" s="16"/>
      <c r="S7" s="16"/>
      <c r="T7" s="16"/>
      <c r="U7" s="16"/>
      <c r="V7" s="16"/>
      <c r="W7" s="16"/>
      <c r="X7" s="16"/>
      <c r="Y7" s="16"/>
      <c r="Z7" s="16"/>
      <c r="AA7" s="16"/>
      <c r="AB7" s="16"/>
      <c r="AC7" s="16"/>
      <c r="AD7" s="16"/>
      <c r="AE7" s="16"/>
      <c r="AF7" s="16"/>
      <c r="AG7" s="16"/>
      <c r="AH7" s="16"/>
      <c r="AI7" s="16"/>
      <c r="AJ7" s="16"/>
    </row>
    <row r="8" spans="1:36" ht="22.5" customHeight="1">
      <c r="A8" s="150"/>
      <c r="B8" s="160"/>
      <c r="C8" s="165"/>
      <c r="D8" s="166"/>
      <c r="E8" s="166"/>
      <c r="F8" s="166"/>
      <c r="G8" s="166"/>
      <c r="H8" s="166"/>
      <c r="I8" s="166"/>
      <c r="J8" s="166"/>
      <c r="K8" s="166"/>
      <c r="L8" s="167"/>
      <c r="M8" s="86"/>
      <c r="N8" s="52"/>
      <c r="O8" s="16"/>
      <c r="P8" s="16"/>
      <c r="Q8" s="16"/>
      <c r="R8" s="16"/>
      <c r="S8" s="16"/>
      <c r="T8" s="16"/>
      <c r="U8" s="16"/>
      <c r="V8" s="16"/>
      <c r="W8" s="16"/>
      <c r="X8" s="16"/>
      <c r="Y8" s="16"/>
      <c r="Z8" s="16"/>
      <c r="AA8" s="16"/>
      <c r="AB8" s="16"/>
      <c r="AC8" s="16"/>
      <c r="AD8" s="16"/>
      <c r="AE8" s="16"/>
      <c r="AF8" s="16"/>
      <c r="AG8" s="16"/>
      <c r="AH8" s="16"/>
      <c r="AI8" s="16"/>
      <c r="AJ8" s="16"/>
    </row>
    <row r="9" spans="1:36" ht="76.5" customHeight="1">
      <c r="A9" s="150"/>
      <c r="B9" s="160"/>
      <c r="C9" s="165"/>
      <c r="D9" s="166"/>
      <c r="E9" s="166"/>
      <c r="F9" s="166"/>
      <c r="G9" s="166"/>
      <c r="H9" s="166"/>
      <c r="I9" s="166"/>
      <c r="J9" s="166"/>
      <c r="K9" s="166"/>
      <c r="L9" s="167"/>
      <c r="M9" s="86"/>
      <c r="N9" s="52"/>
      <c r="O9" s="16"/>
      <c r="Q9" s="20" t="s">
        <v>18</v>
      </c>
      <c r="R9" s="16"/>
      <c r="S9" s="16"/>
      <c r="T9" s="16"/>
      <c r="U9" s="16"/>
      <c r="V9" s="16"/>
      <c r="W9" s="16"/>
      <c r="X9" s="16"/>
      <c r="Y9" s="16"/>
      <c r="Z9" s="16"/>
      <c r="AA9" s="16"/>
      <c r="AB9" s="16"/>
      <c r="AC9" s="16"/>
      <c r="AD9" s="16"/>
      <c r="AE9" s="16"/>
      <c r="AF9" s="16"/>
      <c r="AG9" s="16"/>
      <c r="AH9" s="16"/>
      <c r="AI9" s="16"/>
      <c r="AJ9" s="16"/>
    </row>
    <row r="10" spans="1:36" ht="3.75" customHeight="1" thickBot="1">
      <c r="A10" s="151"/>
      <c r="B10" s="161"/>
      <c r="C10" s="168"/>
      <c r="D10" s="169"/>
      <c r="E10" s="169"/>
      <c r="F10" s="169"/>
      <c r="G10" s="169"/>
      <c r="H10" s="169"/>
      <c r="I10" s="169"/>
      <c r="J10" s="169"/>
      <c r="K10" s="169"/>
      <c r="L10" s="170"/>
      <c r="M10" s="8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ht="15" customHeight="1">
      <c r="A11" s="150">
        <v>3</v>
      </c>
      <c r="B11" s="171" t="s">
        <v>93</v>
      </c>
      <c r="C11" s="162" t="s">
        <v>124</v>
      </c>
      <c r="D11" s="163"/>
      <c r="E11" s="163"/>
      <c r="F11" s="163"/>
      <c r="G11" s="163"/>
      <c r="H11" s="163"/>
      <c r="I11" s="163"/>
      <c r="J11" s="163"/>
      <c r="K11" s="163"/>
      <c r="L11" s="164"/>
      <c r="M11" s="86"/>
      <c r="N11" s="16"/>
      <c r="O11" s="105"/>
      <c r="P11" s="105"/>
      <c r="Q11" s="105"/>
      <c r="R11" s="105"/>
      <c r="S11" s="105"/>
      <c r="T11" s="105"/>
      <c r="U11" s="105"/>
      <c r="V11" s="105"/>
      <c r="W11" s="105"/>
      <c r="X11" s="105"/>
      <c r="Y11" s="105"/>
      <c r="Z11" s="105"/>
      <c r="AA11" s="16"/>
      <c r="AB11" s="16"/>
      <c r="AC11" s="16"/>
      <c r="AD11" s="16"/>
      <c r="AE11" s="16"/>
      <c r="AF11" s="16"/>
      <c r="AG11" s="16"/>
      <c r="AH11" s="16"/>
      <c r="AI11" s="16"/>
      <c r="AJ11" s="16"/>
    </row>
    <row r="12" spans="1:36" ht="15.75" customHeight="1">
      <c r="A12" s="150"/>
      <c r="B12" s="172"/>
      <c r="C12" s="165"/>
      <c r="D12" s="166"/>
      <c r="E12" s="166"/>
      <c r="F12" s="166"/>
      <c r="G12" s="166"/>
      <c r="H12" s="166"/>
      <c r="I12" s="166"/>
      <c r="J12" s="166"/>
      <c r="K12" s="166"/>
      <c r="L12" s="167"/>
      <c r="M12" s="86"/>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36" ht="15">
      <c r="A13" s="150"/>
      <c r="B13" s="172"/>
      <c r="C13" s="165"/>
      <c r="D13" s="166"/>
      <c r="E13" s="166"/>
      <c r="F13" s="166"/>
      <c r="G13" s="166"/>
      <c r="H13" s="166"/>
      <c r="I13" s="166"/>
      <c r="J13" s="166"/>
      <c r="K13" s="166"/>
      <c r="L13" s="167"/>
      <c r="M13" s="86"/>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36" ht="15.75" thickBot="1">
      <c r="A14" s="151"/>
      <c r="B14" s="173"/>
      <c r="C14" s="168"/>
      <c r="D14" s="169"/>
      <c r="E14" s="169"/>
      <c r="F14" s="169"/>
      <c r="G14" s="169"/>
      <c r="H14" s="169"/>
      <c r="I14" s="169"/>
      <c r="J14" s="169"/>
      <c r="K14" s="169"/>
      <c r="L14" s="170"/>
      <c r="M14" s="86"/>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36" ht="15" customHeight="1">
      <c r="A15" s="178">
        <v>4</v>
      </c>
      <c r="B15" s="179" t="s">
        <v>90</v>
      </c>
      <c r="C15" s="162" t="s">
        <v>132</v>
      </c>
      <c r="D15" s="163"/>
      <c r="E15" s="163"/>
      <c r="F15" s="163"/>
      <c r="G15" s="163"/>
      <c r="H15" s="163"/>
      <c r="I15" s="163"/>
      <c r="J15" s="163"/>
      <c r="K15" s="163"/>
      <c r="L15" s="164"/>
      <c r="M15" s="86"/>
      <c r="N15" s="16"/>
      <c r="O15" s="16"/>
      <c r="P15" s="16"/>
      <c r="Q15" s="16"/>
      <c r="R15" s="16"/>
      <c r="S15" s="16"/>
      <c r="T15" s="16"/>
      <c r="U15" s="16"/>
      <c r="V15" s="16"/>
      <c r="W15" s="16"/>
      <c r="X15" s="16"/>
      <c r="Y15" s="16"/>
      <c r="Z15" s="16"/>
      <c r="AA15" s="16"/>
      <c r="AB15" s="16"/>
      <c r="AC15" s="16"/>
      <c r="AD15" s="16"/>
      <c r="AE15" s="16"/>
      <c r="AF15" s="16"/>
      <c r="AG15" s="16"/>
      <c r="AH15" s="16"/>
      <c r="AI15" s="16"/>
      <c r="AJ15" s="16"/>
    </row>
    <row r="16" spans="1:36" ht="15">
      <c r="A16" s="150"/>
      <c r="B16" s="180"/>
      <c r="C16" s="165"/>
      <c r="D16" s="166"/>
      <c r="E16" s="166"/>
      <c r="F16" s="166"/>
      <c r="G16" s="166"/>
      <c r="H16" s="166"/>
      <c r="I16" s="166"/>
      <c r="J16" s="166"/>
      <c r="K16" s="166"/>
      <c r="L16" s="167"/>
      <c r="M16" s="86"/>
      <c r="N16" s="16"/>
      <c r="O16" s="16"/>
      <c r="P16" s="16"/>
      <c r="Q16" s="16"/>
      <c r="R16" s="16"/>
      <c r="S16" s="16"/>
      <c r="T16" s="16"/>
      <c r="U16" s="16"/>
      <c r="V16" s="16"/>
      <c r="W16" s="16"/>
      <c r="X16" s="16"/>
      <c r="Y16" s="16"/>
      <c r="Z16" s="16"/>
      <c r="AA16" s="16"/>
      <c r="AB16" s="16"/>
      <c r="AC16" s="16"/>
      <c r="AD16" s="16"/>
      <c r="AE16" s="16"/>
      <c r="AF16" s="16"/>
      <c r="AG16" s="16"/>
      <c r="AH16" s="16"/>
      <c r="AI16" s="16"/>
      <c r="AJ16" s="16"/>
    </row>
    <row r="17" spans="1:36" ht="27" customHeight="1">
      <c r="A17" s="150"/>
      <c r="B17" s="180"/>
      <c r="C17" s="165"/>
      <c r="D17" s="166"/>
      <c r="E17" s="166"/>
      <c r="F17" s="166"/>
      <c r="G17" s="166"/>
      <c r="H17" s="166"/>
      <c r="I17" s="166"/>
      <c r="J17" s="166"/>
      <c r="K17" s="166"/>
      <c r="L17" s="167"/>
      <c r="M17" s="86"/>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ht="74.25" customHeight="1" thickBot="1">
      <c r="A18" s="151"/>
      <c r="B18" s="181"/>
      <c r="C18" s="168"/>
      <c r="D18" s="169"/>
      <c r="E18" s="169"/>
      <c r="F18" s="169"/>
      <c r="G18" s="169"/>
      <c r="H18" s="169"/>
      <c r="I18" s="169"/>
      <c r="J18" s="169"/>
      <c r="K18" s="169"/>
      <c r="L18" s="170"/>
      <c r="M18" s="86"/>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1:36" ht="35.25" customHeight="1">
      <c r="A19" s="150">
        <v>5</v>
      </c>
      <c r="B19" s="171" t="s">
        <v>33</v>
      </c>
      <c r="C19" s="162" t="s">
        <v>125</v>
      </c>
      <c r="D19" s="163"/>
      <c r="E19" s="163"/>
      <c r="F19" s="163"/>
      <c r="G19" s="163"/>
      <c r="H19" s="163"/>
      <c r="I19" s="163"/>
      <c r="J19" s="163"/>
      <c r="K19" s="163"/>
      <c r="L19" s="164"/>
      <c r="M19" s="86"/>
      <c r="N19" s="16"/>
      <c r="O19" s="16"/>
      <c r="P19" s="16"/>
      <c r="Q19" s="16"/>
      <c r="R19" s="16"/>
      <c r="S19" s="16"/>
      <c r="T19" s="16"/>
      <c r="U19" s="16"/>
      <c r="V19" s="16"/>
      <c r="W19" s="16"/>
      <c r="X19" s="16"/>
      <c r="Y19" s="16"/>
      <c r="Z19" s="16"/>
      <c r="AA19" s="16"/>
      <c r="AB19" s="16"/>
      <c r="AC19" s="16"/>
      <c r="AD19" s="16"/>
      <c r="AE19" s="16"/>
      <c r="AF19" s="16"/>
      <c r="AG19" s="16"/>
      <c r="AH19" s="16"/>
      <c r="AI19" s="16"/>
      <c r="AJ19" s="16"/>
    </row>
    <row r="20" spans="1:36" ht="15">
      <c r="A20" s="150"/>
      <c r="B20" s="172"/>
      <c r="C20" s="165"/>
      <c r="D20" s="166"/>
      <c r="E20" s="166"/>
      <c r="F20" s="166"/>
      <c r="G20" s="166"/>
      <c r="H20" s="166"/>
      <c r="I20" s="166"/>
      <c r="J20" s="166"/>
      <c r="K20" s="166"/>
      <c r="L20" s="167"/>
      <c r="M20" s="86"/>
      <c r="N20" s="16"/>
      <c r="O20" s="16"/>
      <c r="P20" s="16"/>
      <c r="Q20" s="16"/>
      <c r="R20" s="16"/>
      <c r="S20" s="16"/>
      <c r="T20" s="16"/>
      <c r="U20" s="16"/>
      <c r="V20" s="16"/>
      <c r="W20" s="16"/>
      <c r="X20" s="16"/>
      <c r="Y20" s="16"/>
      <c r="Z20" s="16"/>
      <c r="AA20" s="16"/>
      <c r="AB20" s="16"/>
      <c r="AC20" s="16"/>
      <c r="AD20" s="16"/>
      <c r="AE20" s="16"/>
      <c r="AF20" s="16"/>
      <c r="AG20" s="16"/>
      <c r="AH20" s="16"/>
      <c r="AI20" s="16"/>
      <c r="AJ20" s="16"/>
    </row>
    <row r="21" spans="1:36" ht="10.5" customHeight="1">
      <c r="A21" s="150"/>
      <c r="B21" s="172"/>
      <c r="C21" s="165"/>
      <c r="D21" s="166"/>
      <c r="E21" s="166"/>
      <c r="F21" s="166"/>
      <c r="G21" s="166"/>
      <c r="H21" s="166"/>
      <c r="I21" s="166"/>
      <c r="J21" s="166"/>
      <c r="K21" s="166"/>
      <c r="L21" s="167"/>
      <c r="M21" s="8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1:36" ht="15.75" thickBot="1">
      <c r="A22" s="151"/>
      <c r="B22" s="173"/>
      <c r="C22" s="168"/>
      <c r="D22" s="169"/>
      <c r="E22" s="169"/>
      <c r="F22" s="169"/>
      <c r="G22" s="169"/>
      <c r="H22" s="169"/>
      <c r="I22" s="169"/>
      <c r="J22" s="169"/>
      <c r="K22" s="169"/>
      <c r="L22" s="170"/>
      <c r="M22" s="86"/>
      <c r="N22" s="16"/>
      <c r="O22" s="16"/>
      <c r="P22" s="16"/>
      <c r="Q22" s="16"/>
      <c r="R22" s="16"/>
      <c r="S22" s="16"/>
      <c r="T22" s="16"/>
      <c r="U22" s="16"/>
      <c r="V22" s="16"/>
      <c r="W22" s="16"/>
      <c r="X22" s="16"/>
      <c r="Y22" s="16"/>
      <c r="Z22" s="16"/>
      <c r="AA22" s="16"/>
      <c r="AB22" s="16"/>
      <c r="AC22" s="16"/>
      <c r="AD22" s="16"/>
      <c r="AE22" s="16"/>
      <c r="AF22" s="16"/>
      <c r="AG22" s="16"/>
      <c r="AH22" s="16"/>
      <c r="AI22" s="16"/>
      <c r="AJ22" s="16"/>
    </row>
    <row r="23" spans="1:36" ht="15" customHeight="1">
      <c r="A23" s="178">
        <v>6</v>
      </c>
      <c r="B23" s="171" t="s">
        <v>67</v>
      </c>
      <c r="C23" s="162" t="s">
        <v>126</v>
      </c>
      <c r="D23" s="163"/>
      <c r="E23" s="163"/>
      <c r="F23" s="163"/>
      <c r="G23" s="163"/>
      <c r="H23" s="163"/>
      <c r="I23" s="163"/>
      <c r="J23" s="163"/>
      <c r="K23" s="163"/>
      <c r="L23" s="164"/>
      <c r="M23" s="8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ht="15">
      <c r="A24" s="150"/>
      <c r="B24" s="172"/>
      <c r="C24" s="165"/>
      <c r="D24" s="166"/>
      <c r="E24" s="166"/>
      <c r="F24" s="166"/>
      <c r="G24" s="166"/>
      <c r="H24" s="166"/>
      <c r="I24" s="166"/>
      <c r="J24" s="166"/>
      <c r="K24" s="166"/>
      <c r="L24" s="167"/>
      <c r="M24" s="86"/>
      <c r="N24" s="16"/>
      <c r="O24" s="16"/>
      <c r="P24" s="16"/>
      <c r="Q24" s="16"/>
      <c r="R24" s="16"/>
      <c r="S24" s="16"/>
      <c r="T24" s="16"/>
      <c r="U24" s="16"/>
      <c r="V24" s="16"/>
      <c r="W24" s="16"/>
      <c r="X24" s="16"/>
      <c r="Y24" s="16"/>
      <c r="Z24" s="16"/>
      <c r="AA24" s="16"/>
      <c r="AB24" s="16"/>
      <c r="AC24" s="16"/>
      <c r="AD24" s="16"/>
      <c r="AE24" s="16"/>
      <c r="AF24" s="16"/>
      <c r="AG24" s="16"/>
      <c r="AH24" s="16"/>
      <c r="AI24" s="16"/>
      <c r="AJ24" s="16"/>
    </row>
    <row r="25" spans="1:36" ht="15">
      <c r="A25" s="150"/>
      <c r="B25" s="172"/>
      <c r="C25" s="165"/>
      <c r="D25" s="166"/>
      <c r="E25" s="166"/>
      <c r="F25" s="166"/>
      <c r="G25" s="166"/>
      <c r="H25" s="166"/>
      <c r="I25" s="166"/>
      <c r="J25" s="166"/>
      <c r="K25" s="166"/>
      <c r="L25" s="167"/>
      <c r="M25" s="86"/>
      <c r="N25" s="16"/>
      <c r="O25" s="16"/>
      <c r="P25" s="16"/>
      <c r="Q25" s="16"/>
      <c r="R25" s="16"/>
      <c r="S25" s="16"/>
      <c r="T25" s="16"/>
      <c r="U25" s="16"/>
      <c r="V25" s="16"/>
      <c r="W25" s="16"/>
      <c r="X25" s="16"/>
      <c r="Y25" s="16"/>
      <c r="Z25" s="16"/>
      <c r="AA25" s="16"/>
      <c r="AB25" s="16"/>
      <c r="AC25" s="16"/>
      <c r="AD25" s="16"/>
      <c r="AE25" s="16"/>
      <c r="AF25" s="16"/>
      <c r="AG25" s="16"/>
      <c r="AH25" s="16"/>
      <c r="AI25" s="16"/>
      <c r="AJ25" s="16"/>
    </row>
    <row r="26" spans="1:35" ht="30.75" customHeight="1" thickBot="1">
      <c r="A26" s="151"/>
      <c r="B26" s="173"/>
      <c r="C26" s="168"/>
      <c r="D26" s="169"/>
      <c r="E26" s="169"/>
      <c r="F26" s="169"/>
      <c r="G26" s="169"/>
      <c r="H26" s="169"/>
      <c r="I26" s="169"/>
      <c r="J26" s="169"/>
      <c r="K26" s="169"/>
      <c r="L26" s="170"/>
      <c r="M26" s="86"/>
      <c r="N26" s="16"/>
      <c r="O26" s="16"/>
      <c r="P26" s="16"/>
      <c r="Q26" s="16"/>
      <c r="R26" s="16"/>
      <c r="S26" s="16"/>
      <c r="T26" s="16"/>
      <c r="U26" s="16"/>
      <c r="V26" s="16"/>
      <c r="W26" s="16"/>
      <c r="X26" s="16"/>
      <c r="Y26" s="16"/>
      <c r="Z26" s="16"/>
      <c r="AA26" s="16"/>
      <c r="AB26" s="16"/>
      <c r="AC26" s="16"/>
      <c r="AD26" s="16"/>
      <c r="AE26" s="16"/>
      <c r="AF26" s="16"/>
      <c r="AG26" s="16"/>
      <c r="AH26" s="16"/>
      <c r="AI26" s="16"/>
    </row>
    <row r="27" spans="1:35" ht="15" customHeight="1" thickBot="1">
      <c r="A27" s="150">
        <v>7</v>
      </c>
      <c r="B27" s="174"/>
      <c r="C27" s="155" t="s">
        <v>127</v>
      </c>
      <c r="D27" s="155"/>
      <c r="E27" s="155"/>
      <c r="F27" s="155"/>
      <c r="G27" s="155"/>
      <c r="H27" s="155"/>
      <c r="I27" s="155"/>
      <c r="J27" s="155"/>
      <c r="K27" s="155"/>
      <c r="L27" s="155"/>
      <c r="M27" s="86"/>
      <c r="N27" s="16" t="s">
        <v>34</v>
      </c>
      <c r="O27" s="16"/>
      <c r="P27" s="16"/>
      <c r="Q27" s="16"/>
      <c r="R27" s="16"/>
      <c r="S27" s="16"/>
      <c r="T27" s="16"/>
      <c r="U27" s="16"/>
      <c r="V27" s="16"/>
      <c r="W27" s="16"/>
      <c r="X27" s="16"/>
      <c r="Y27" s="16"/>
      <c r="Z27" s="16"/>
      <c r="AA27" s="16"/>
      <c r="AB27" s="16"/>
      <c r="AC27" s="16"/>
      <c r="AD27" s="16"/>
      <c r="AE27" s="16"/>
      <c r="AF27" s="16"/>
      <c r="AG27" s="16"/>
      <c r="AH27" s="16"/>
      <c r="AI27" s="16"/>
    </row>
    <row r="28" spans="1:35" ht="15.75" thickBot="1">
      <c r="A28" s="150"/>
      <c r="B28" s="175"/>
      <c r="C28" s="156"/>
      <c r="D28" s="156"/>
      <c r="E28" s="156"/>
      <c r="F28" s="156"/>
      <c r="G28" s="156"/>
      <c r="H28" s="156"/>
      <c r="I28" s="156"/>
      <c r="J28" s="156"/>
      <c r="K28" s="156"/>
      <c r="L28" s="156"/>
      <c r="M28" s="86"/>
      <c r="N28" s="55" t="s">
        <v>50</v>
      </c>
      <c r="O28" s="55" t="s">
        <v>51</v>
      </c>
      <c r="P28" s="55" t="s">
        <v>6</v>
      </c>
      <c r="Q28" s="55" t="s">
        <v>7</v>
      </c>
      <c r="R28" s="55" t="s">
        <v>8</v>
      </c>
      <c r="S28" s="55" t="s">
        <v>9</v>
      </c>
      <c r="T28" s="55" t="s">
        <v>10</v>
      </c>
      <c r="U28" s="55" t="s">
        <v>11</v>
      </c>
      <c r="V28" s="55" t="s">
        <v>12</v>
      </c>
      <c r="W28" s="55" t="s">
        <v>13</v>
      </c>
      <c r="X28" s="55" t="s">
        <v>14</v>
      </c>
      <c r="Y28" s="55" t="s">
        <v>15</v>
      </c>
      <c r="Z28" s="55" t="s">
        <v>16</v>
      </c>
      <c r="AA28" s="55" t="s">
        <v>17</v>
      </c>
      <c r="AB28" s="16"/>
      <c r="AC28" s="16"/>
      <c r="AD28" s="16"/>
      <c r="AE28" s="16"/>
      <c r="AF28" s="16"/>
      <c r="AG28" s="16"/>
      <c r="AH28" s="16"/>
      <c r="AI28" s="16"/>
    </row>
    <row r="29" spans="1:35" ht="15.75" thickBot="1">
      <c r="A29" s="150"/>
      <c r="B29" s="175"/>
      <c r="C29" s="156"/>
      <c r="D29" s="156"/>
      <c r="E29" s="156"/>
      <c r="F29" s="156"/>
      <c r="G29" s="156"/>
      <c r="H29" s="156"/>
      <c r="I29" s="156"/>
      <c r="J29" s="156"/>
      <c r="K29" s="156"/>
      <c r="L29" s="156"/>
      <c r="M29" s="86"/>
      <c r="N29" s="106">
        <f>0.49/100</f>
        <v>0.0049</v>
      </c>
      <c r="O29" s="106">
        <f>2.06/100</f>
        <v>0.0206</v>
      </c>
      <c r="P29" s="106">
        <f>3.26/100</f>
        <v>0.0326</v>
      </c>
      <c r="Q29" s="106">
        <f>3.69/100</f>
        <v>0.0369</v>
      </c>
      <c r="R29" s="106">
        <f>3.69/100</f>
        <v>0.0369</v>
      </c>
      <c r="S29" s="107">
        <f>(2.1258*LN(6)+0.6025)/100</f>
        <v>0.04411422279684998</v>
      </c>
      <c r="T29" s="107">
        <f>(2.1258*LN(7)+0.6025)/100</f>
        <v>0.04739115794861784</v>
      </c>
      <c r="U29" s="107">
        <f>(2.1258*LN(8)+0.6025)/100</f>
        <v>0.05022976829302995</v>
      </c>
      <c r="V29" s="107">
        <f>(2.1258*LN(9)+0.6025)/100</f>
        <v>0.052733600065013354</v>
      </c>
      <c r="W29" s="107">
        <f>(2.1258*LN(10)+0.6025)/100</f>
        <v>0.05497335390686743</v>
      </c>
      <c r="X29" s="107">
        <f>(2.1258*LN(11)+0.6025)/100</f>
        <v>0.05699945770914776</v>
      </c>
      <c r="Y29" s="107">
        <f>(2.1258*LN(12)+0.6025)/100</f>
        <v>0.05884914556119331</v>
      </c>
      <c r="Z29" s="107">
        <f>(2.1258*LN(13)+0.6025)/100</f>
        <v>0.06055069344091734</v>
      </c>
      <c r="AA29" s="107">
        <f>(2.1258*LN(14)+0.6025)/100</f>
        <v>0.06212608071296116</v>
      </c>
      <c r="AB29" s="16"/>
      <c r="AC29" s="16"/>
      <c r="AD29" s="16"/>
      <c r="AE29" s="16"/>
      <c r="AF29" s="16"/>
      <c r="AG29" s="16"/>
      <c r="AH29" s="16"/>
      <c r="AI29" s="16"/>
    </row>
    <row r="30" spans="1:35" ht="42" customHeight="1" thickBot="1">
      <c r="A30" s="151"/>
      <c r="B30" s="176"/>
      <c r="C30" s="157"/>
      <c r="D30" s="157"/>
      <c r="E30" s="157"/>
      <c r="F30" s="157"/>
      <c r="G30" s="157"/>
      <c r="H30" s="157"/>
      <c r="I30" s="157"/>
      <c r="J30" s="157"/>
      <c r="K30" s="157"/>
      <c r="L30" s="157"/>
      <c r="M30" s="104"/>
      <c r="N30" s="16"/>
      <c r="O30" s="16"/>
      <c r="P30" s="16"/>
      <c r="Q30" s="16"/>
      <c r="R30" s="16"/>
      <c r="S30" s="16"/>
      <c r="T30" s="16"/>
      <c r="U30" s="16"/>
      <c r="V30" s="16"/>
      <c r="W30" s="16"/>
      <c r="X30" s="16"/>
      <c r="Y30" s="16"/>
      <c r="Z30" s="16"/>
      <c r="AA30" s="16"/>
      <c r="AB30" s="16"/>
      <c r="AC30" s="16"/>
      <c r="AD30" s="16"/>
      <c r="AE30" s="16"/>
      <c r="AF30" s="16"/>
      <c r="AG30" s="16"/>
      <c r="AH30" s="16"/>
      <c r="AI30" s="16"/>
    </row>
    <row r="31" spans="1:35" ht="15">
      <c r="A31" s="150">
        <v>8</v>
      </c>
      <c r="B31" s="183">
        <v>0.02</v>
      </c>
      <c r="C31" s="155" t="s">
        <v>128</v>
      </c>
      <c r="D31" s="155"/>
      <c r="E31" s="155"/>
      <c r="F31" s="155"/>
      <c r="G31" s="155"/>
      <c r="H31" s="155"/>
      <c r="I31" s="155"/>
      <c r="J31" s="155"/>
      <c r="K31" s="155"/>
      <c r="L31" s="155"/>
      <c r="M31" s="104"/>
      <c r="N31" s="16"/>
      <c r="O31" s="16"/>
      <c r="P31" s="16"/>
      <c r="Q31" s="16"/>
      <c r="R31" s="16"/>
      <c r="S31" s="16"/>
      <c r="T31" s="16"/>
      <c r="U31" s="16"/>
      <c r="V31" s="16"/>
      <c r="W31" s="16"/>
      <c r="X31" s="16"/>
      <c r="Y31" s="16"/>
      <c r="Z31" s="16"/>
      <c r="AA31" s="16"/>
      <c r="AB31" s="16"/>
      <c r="AC31" s="16"/>
      <c r="AD31" s="16"/>
      <c r="AE31" s="16"/>
      <c r="AF31" s="16"/>
      <c r="AG31" s="16"/>
      <c r="AH31" s="16"/>
      <c r="AI31" s="16"/>
    </row>
    <row r="32" spans="1:35" ht="15">
      <c r="A32" s="150"/>
      <c r="B32" s="184"/>
      <c r="C32" s="156"/>
      <c r="D32" s="156"/>
      <c r="E32" s="156"/>
      <c r="F32" s="156"/>
      <c r="G32" s="156"/>
      <c r="H32" s="156"/>
      <c r="I32" s="156"/>
      <c r="J32" s="156"/>
      <c r="K32" s="156"/>
      <c r="L32" s="156"/>
      <c r="M32" s="104"/>
      <c r="N32" s="16"/>
      <c r="O32" s="16"/>
      <c r="P32" s="16"/>
      <c r="Q32" s="16"/>
      <c r="R32" s="16"/>
      <c r="S32" s="16"/>
      <c r="T32" s="16"/>
      <c r="U32" s="16"/>
      <c r="V32" s="16"/>
      <c r="W32" s="16"/>
      <c r="X32" s="16"/>
      <c r="Y32" s="16"/>
      <c r="Z32" s="16"/>
      <c r="AA32" s="16"/>
      <c r="AB32" s="16"/>
      <c r="AC32" s="16"/>
      <c r="AD32" s="16"/>
      <c r="AE32" s="16"/>
      <c r="AF32" s="16"/>
      <c r="AG32" s="16"/>
      <c r="AH32" s="16"/>
      <c r="AI32" s="16"/>
    </row>
    <row r="33" spans="1:35" ht="15.75" thickBot="1">
      <c r="A33" s="150"/>
      <c r="B33" s="184"/>
      <c r="C33" s="156"/>
      <c r="D33" s="156"/>
      <c r="E33" s="156"/>
      <c r="F33" s="156"/>
      <c r="G33" s="156"/>
      <c r="H33" s="156"/>
      <c r="I33" s="156"/>
      <c r="J33" s="156"/>
      <c r="K33" s="156"/>
      <c r="L33" s="156"/>
      <c r="M33" s="104"/>
      <c r="N33" s="16"/>
      <c r="O33" s="16"/>
      <c r="P33" s="16"/>
      <c r="Q33" s="16"/>
      <c r="R33" s="16"/>
      <c r="S33" s="16"/>
      <c r="T33" s="16"/>
      <c r="U33" s="16"/>
      <c r="V33" s="16"/>
      <c r="W33" s="16"/>
      <c r="X33" s="16"/>
      <c r="Y33" s="16"/>
      <c r="Z33" s="16"/>
      <c r="AA33" s="16"/>
      <c r="AB33" s="16"/>
      <c r="AC33" s="16"/>
      <c r="AD33" s="16"/>
      <c r="AE33" s="16"/>
      <c r="AF33" s="16"/>
      <c r="AG33" s="16"/>
      <c r="AH33" s="16"/>
      <c r="AI33" s="16"/>
    </row>
    <row r="34" spans="1:34" ht="15">
      <c r="A34" s="150">
        <v>9</v>
      </c>
      <c r="B34" s="183">
        <v>0.02</v>
      </c>
      <c r="C34" s="155" t="s">
        <v>129</v>
      </c>
      <c r="D34" s="155"/>
      <c r="E34" s="155"/>
      <c r="F34" s="155"/>
      <c r="G34" s="155"/>
      <c r="H34" s="155"/>
      <c r="I34" s="155"/>
      <c r="J34" s="155"/>
      <c r="K34" s="155"/>
      <c r="L34" s="155"/>
      <c r="M34" s="104"/>
      <c r="N34" s="16"/>
      <c r="O34" s="16"/>
      <c r="P34" s="16"/>
      <c r="Q34" s="16"/>
      <c r="R34" s="16"/>
      <c r="S34" s="16"/>
      <c r="T34" s="16"/>
      <c r="U34" s="16"/>
      <c r="V34" s="16"/>
      <c r="W34" s="16"/>
      <c r="X34" s="16"/>
      <c r="Y34" s="16"/>
      <c r="Z34" s="16"/>
      <c r="AA34" s="16"/>
      <c r="AB34" s="16"/>
      <c r="AC34" s="16"/>
      <c r="AD34" s="16"/>
      <c r="AE34" s="16"/>
      <c r="AF34" s="16"/>
      <c r="AG34" s="16"/>
      <c r="AH34" s="16"/>
    </row>
    <row r="35" spans="1:34" ht="15">
      <c r="A35" s="150"/>
      <c r="B35" s="184"/>
      <c r="C35" s="156"/>
      <c r="D35" s="156"/>
      <c r="E35" s="156"/>
      <c r="F35" s="156"/>
      <c r="G35" s="156"/>
      <c r="H35" s="156"/>
      <c r="I35" s="156"/>
      <c r="J35" s="156"/>
      <c r="K35" s="156"/>
      <c r="L35" s="156"/>
      <c r="M35" s="104"/>
      <c r="N35" s="16"/>
      <c r="O35" s="16"/>
      <c r="P35" s="16"/>
      <c r="Q35" s="16"/>
      <c r="R35" s="16"/>
      <c r="S35" s="16"/>
      <c r="T35" s="16"/>
      <c r="U35" s="16"/>
      <c r="V35" s="16"/>
      <c r="W35" s="16"/>
      <c r="X35" s="16"/>
      <c r="Y35" s="16"/>
      <c r="Z35" s="16"/>
      <c r="AA35" s="16"/>
      <c r="AB35" s="16"/>
      <c r="AC35" s="16"/>
      <c r="AD35" s="16"/>
      <c r="AE35" s="16"/>
      <c r="AF35" s="16"/>
      <c r="AG35" s="16"/>
      <c r="AH35" s="16"/>
    </row>
    <row r="36" spans="1:34" ht="16.5" customHeight="1" thickBot="1">
      <c r="A36" s="150"/>
      <c r="B36" s="184"/>
      <c r="C36" s="156"/>
      <c r="D36" s="156"/>
      <c r="E36" s="156"/>
      <c r="F36" s="156"/>
      <c r="G36" s="156"/>
      <c r="H36" s="156"/>
      <c r="I36" s="156"/>
      <c r="J36" s="156"/>
      <c r="K36" s="156"/>
      <c r="L36" s="156"/>
      <c r="M36" s="104"/>
      <c r="N36" s="16"/>
      <c r="O36" s="16"/>
      <c r="P36" s="16"/>
      <c r="Q36" s="16"/>
      <c r="R36" s="16"/>
      <c r="S36" s="16"/>
      <c r="T36" s="16"/>
      <c r="U36" s="16"/>
      <c r="V36" s="16"/>
      <c r="W36" s="16"/>
      <c r="X36" s="16"/>
      <c r="Y36" s="16"/>
      <c r="Z36" s="16"/>
      <c r="AA36" s="16"/>
      <c r="AB36" s="16"/>
      <c r="AC36" s="16"/>
      <c r="AD36" s="16"/>
      <c r="AE36" s="16"/>
      <c r="AF36" s="16"/>
      <c r="AG36" s="16"/>
      <c r="AH36" s="16"/>
    </row>
    <row r="37" spans="1:34" ht="15.75" hidden="1" thickBot="1">
      <c r="A37" s="151"/>
      <c r="B37" s="185"/>
      <c r="C37" s="157"/>
      <c r="D37" s="157"/>
      <c r="E37" s="157"/>
      <c r="F37" s="157"/>
      <c r="G37" s="157"/>
      <c r="H37" s="157"/>
      <c r="I37" s="157"/>
      <c r="J37" s="157"/>
      <c r="K37" s="157"/>
      <c r="L37" s="157"/>
      <c r="M37" s="82"/>
      <c r="N37" s="16"/>
      <c r="O37" s="16"/>
      <c r="P37" s="16"/>
      <c r="Q37" s="16"/>
      <c r="R37" s="16"/>
      <c r="S37" s="16"/>
      <c r="T37" s="16"/>
      <c r="U37" s="16"/>
      <c r="V37" s="16"/>
      <c r="W37" s="16"/>
      <c r="X37" s="16"/>
      <c r="Y37" s="16"/>
      <c r="Z37" s="16"/>
      <c r="AA37" s="16"/>
      <c r="AB37" s="16"/>
      <c r="AC37" s="16"/>
      <c r="AD37" s="16"/>
      <c r="AE37" s="16"/>
      <c r="AF37" s="16"/>
      <c r="AG37" s="16"/>
      <c r="AH37" s="16"/>
    </row>
    <row r="38" spans="1:34" ht="15">
      <c r="A38" s="150">
        <v>10</v>
      </c>
      <c r="B38" s="152" t="s">
        <v>131</v>
      </c>
      <c r="C38" s="155" t="s">
        <v>130</v>
      </c>
      <c r="D38" s="155"/>
      <c r="E38" s="155"/>
      <c r="F38" s="155"/>
      <c r="G38" s="155"/>
      <c r="H38" s="155"/>
      <c r="I38" s="155"/>
      <c r="J38" s="155"/>
      <c r="K38" s="155"/>
      <c r="L38" s="155"/>
      <c r="M38" s="16"/>
      <c r="N38" s="16"/>
      <c r="O38" s="16"/>
      <c r="P38" s="16"/>
      <c r="Q38" s="16"/>
      <c r="R38" s="16"/>
      <c r="S38" s="16"/>
      <c r="T38" s="16"/>
      <c r="U38" s="16"/>
      <c r="V38" s="16"/>
      <c r="W38" s="16"/>
      <c r="X38" s="16"/>
      <c r="Y38" s="16"/>
      <c r="Z38" s="16"/>
      <c r="AA38" s="16"/>
      <c r="AB38" s="16"/>
      <c r="AC38" s="16"/>
      <c r="AD38" s="16"/>
      <c r="AE38" s="16"/>
      <c r="AF38" s="16"/>
      <c r="AG38" s="16"/>
      <c r="AH38" s="16"/>
    </row>
    <row r="39" spans="1:34" ht="15">
      <c r="A39" s="150"/>
      <c r="B39" s="153"/>
      <c r="C39" s="156"/>
      <c r="D39" s="156"/>
      <c r="E39" s="156"/>
      <c r="F39" s="156"/>
      <c r="G39" s="156"/>
      <c r="H39" s="156"/>
      <c r="I39" s="156"/>
      <c r="J39" s="156"/>
      <c r="K39" s="156"/>
      <c r="L39" s="15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150"/>
      <c r="B40" s="153"/>
      <c r="C40" s="156"/>
      <c r="D40" s="156"/>
      <c r="E40" s="156"/>
      <c r="F40" s="156"/>
      <c r="G40" s="156"/>
      <c r="H40" s="156"/>
      <c r="I40" s="156"/>
      <c r="J40" s="156"/>
      <c r="K40" s="156"/>
      <c r="L40" s="156"/>
      <c r="M40" s="16"/>
      <c r="N40" s="16"/>
      <c r="O40" s="16"/>
      <c r="P40" s="16"/>
      <c r="Q40" s="16"/>
      <c r="R40" s="16"/>
      <c r="S40" s="16"/>
      <c r="T40" s="16"/>
      <c r="U40" s="16"/>
      <c r="V40" s="16"/>
      <c r="W40" s="16"/>
      <c r="X40" s="16"/>
      <c r="Y40" s="16"/>
      <c r="Z40" s="16"/>
      <c r="AA40" s="16"/>
      <c r="AB40" s="16"/>
      <c r="AC40" s="16"/>
      <c r="AD40" s="16"/>
      <c r="AE40" s="16"/>
      <c r="AF40" s="16"/>
      <c r="AG40" s="16"/>
      <c r="AH40" s="16"/>
    </row>
    <row r="41" spans="1:34" ht="66.75" customHeight="1" thickBot="1">
      <c r="A41" s="151"/>
      <c r="B41" s="154"/>
      <c r="C41" s="157"/>
      <c r="D41" s="157"/>
      <c r="E41" s="157"/>
      <c r="F41" s="157"/>
      <c r="G41" s="157"/>
      <c r="H41" s="157"/>
      <c r="I41" s="157"/>
      <c r="J41" s="157"/>
      <c r="K41" s="157"/>
      <c r="L41" s="157"/>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c r="B43" s="19"/>
      <c r="C43" s="19"/>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1:34" ht="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1:34"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1:34"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1:34" ht="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1:34" ht="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ht="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75">
      <c r="A55" s="1"/>
      <c r="B55" s="1"/>
      <c r="C55" s="1"/>
      <c r="D55" s="25"/>
      <c r="E55" s="1"/>
      <c r="F55" s="1"/>
      <c r="G55" s="1"/>
      <c r="H55" s="1"/>
      <c r="I55" s="1"/>
      <c r="J55" s="1"/>
      <c r="K55" s="1"/>
      <c r="L55" s="1"/>
      <c r="M55" s="1"/>
      <c r="N55" s="16"/>
      <c r="O55" s="16"/>
      <c r="P55" s="16"/>
      <c r="Q55" s="16"/>
      <c r="R55" s="16"/>
      <c r="S55" s="16"/>
      <c r="T55" s="16"/>
      <c r="U55" s="16"/>
      <c r="V55" s="16"/>
      <c r="W55" s="16"/>
      <c r="X55" s="16"/>
      <c r="Y55" s="16"/>
      <c r="Z55" s="16"/>
      <c r="AA55" s="16"/>
      <c r="AB55" s="16"/>
      <c r="AC55" s="16"/>
      <c r="AD55" s="16"/>
      <c r="AE55" s="16"/>
      <c r="AF55" s="16"/>
      <c r="AG55" s="16"/>
      <c r="AH55" s="16"/>
    </row>
    <row r="56" spans="1:34" ht="15.75">
      <c r="A56" s="1"/>
      <c r="B56" s="1"/>
      <c r="C56" s="1"/>
      <c r="D56" s="25"/>
      <c r="E56" s="1"/>
      <c r="F56" s="1"/>
      <c r="G56" s="1"/>
      <c r="H56" s="1"/>
      <c r="I56" s="1"/>
      <c r="J56" s="1"/>
      <c r="K56" s="1"/>
      <c r="L56" s="1"/>
      <c r="M56" s="1"/>
      <c r="N56" s="16"/>
      <c r="O56" s="16"/>
      <c r="P56" s="16"/>
      <c r="Q56" s="16"/>
      <c r="R56" s="16"/>
      <c r="S56" s="16"/>
      <c r="T56" s="16"/>
      <c r="U56" s="16"/>
      <c r="V56" s="16"/>
      <c r="W56" s="16"/>
      <c r="X56" s="16"/>
      <c r="Y56" s="16"/>
      <c r="Z56" s="16"/>
      <c r="AA56" s="16"/>
      <c r="AB56" s="16"/>
      <c r="AC56" s="16"/>
      <c r="AD56" s="16"/>
      <c r="AE56" s="16"/>
      <c r="AF56" s="16"/>
      <c r="AG56" s="16"/>
      <c r="AH56" s="16"/>
    </row>
    <row r="57" spans="1:34" ht="15.75">
      <c r="A57" s="1"/>
      <c r="B57" s="23"/>
      <c r="C57" s="1"/>
      <c r="D57" s="1"/>
      <c r="E57" s="1"/>
      <c r="F57" s="1"/>
      <c r="G57" s="1"/>
      <c r="H57" s="1"/>
      <c r="I57" s="1"/>
      <c r="J57" s="1"/>
      <c r="K57" s="1"/>
      <c r="L57" s="1"/>
      <c r="M57" s="1"/>
      <c r="N57" s="16"/>
      <c r="O57" s="16"/>
      <c r="P57" s="16"/>
      <c r="Q57" s="16"/>
      <c r="R57" s="16"/>
      <c r="S57" s="16"/>
      <c r="T57" s="16"/>
      <c r="U57" s="16"/>
      <c r="V57" s="16"/>
      <c r="W57" s="16"/>
      <c r="X57" s="16"/>
      <c r="Y57" s="16"/>
      <c r="Z57" s="16"/>
      <c r="AA57" s="16"/>
      <c r="AB57" s="16"/>
      <c r="AC57" s="16"/>
      <c r="AD57" s="16"/>
      <c r="AE57" s="16"/>
      <c r="AF57" s="16"/>
      <c r="AG57" s="16"/>
      <c r="AH57" s="16"/>
    </row>
    <row r="58" spans="1:34" ht="15.75">
      <c r="A58" s="1"/>
      <c r="B58" s="1"/>
      <c r="C58" s="23"/>
      <c r="D58" s="1"/>
      <c r="E58" s="1"/>
      <c r="F58" s="1"/>
      <c r="G58" s="1"/>
      <c r="H58" s="1"/>
      <c r="I58" s="1"/>
      <c r="J58" s="1"/>
      <c r="K58" s="1"/>
      <c r="L58" s="1"/>
      <c r="M58" s="1"/>
      <c r="N58" s="16"/>
      <c r="O58" s="16"/>
      <c r="P58" s="16"/>
      <c r="Q58" s="16"/>
      <c r="R58" s="16"/>
      <c r="S58" s="16"/>
      <c r="T58" s="16"/>
      <c r="U58" s="16"/>
      <c r="V58" s="16"/>
      <c r="W58" s="16"/>
      <c r="X58" s="16"/>
      <c r="Y58" s="16"/>
      <c r="Z58" s="16"/>
      <c r="AA58" s="16"/>
      <c r="AB58" s="16"/>
      <c r="AC58" s="16"/>
      <c r="AD58" s="16"/>
      <c r="AE58" s="16"/>
      <c r="AF58" s="16"/>
      <c r="AG58" s="16"/>
      <c r="AH58" s="16"/>
    </row>
    <row r="59" spans="1:34" ht="15.75">
      <c r="A59" s="1"/>
      <c r="B59" s="1"/>
      <c r="C59" s="1"/>
      <c r="D59" s="23"/>
      <c r="E59" s="1"/>
      <c r="F59" s="1"/>
      <c r="G59" s="1"/>
      <c r="H59" s="1"/>
      <c r="I59" s="1"/>
      <c r="J59" s="1"/>
      <c r="K59" s="1"/>
      <c r="L59" s="1"/>
      <c r="M59" s="1"/>
      <c r="N59" s="1"/>
      <c r="O59" s="16"/>
      <c r="P59" s="16"/>
      <c r="Q59" s="16"/>
      <c r="R59" s="16"/>
      <c r="S59" s="16"/>
      <c r="T59" s="16"/>
      <c r="U59" s="16"/>
      <c r="V59" s="16"/>
      <c r="W59" s="16"/>
      <c r="X59" s="16"/>
      <c r="Y59" s="16"/>
      <c r="Z59" s="16"/>
      <c r="AA59" s="16"/>
      <c r="AB59" s="16"/>
      <c r="AC59" s="16"/>
      <c r="AD59" s="16"/>
      <c r="AE59" s="16"/>
      <c r="AF59" s="16"/>
      <c r="AG59" s="16"/>
      <c r="AH59" s="16"/>
    </row>
    <row r="60" spans="1:34" ht="15.75">
      <c r="A60" s="1"/>
      <c r="B60" s="1"/>
      <c r="C60" s="1"/>
      <c r="D60" s="26"/>
      <c r="E60" s="1"/>
      <c r="F60" s="1"/>
      <c r="G60" s="1"/>
      <c r="H60" s="1"/>
      <c r="I60" s="1"/>
      <c r="J60" s="1"/>
      <c r="K60" s="1"/>
      <c r="L60" s="1"/>
      <c r="M60" s="1"/>
      <c r="N60" s="1"/>
      <c r="O60" s="16"/>
      <c r="P60" s="16"/>
      <c r="Q60" s="16"/>
      <c r="R60" s="16"/>
      <c r="S60" s="16"/>
      <c r="T60" s="16"/>
      <c r="U60" s="16"/>
      <c r="V60" s="16"/>
      <c r="W60" s="16"/>
      <c r="X60" s="16"/>
      <c r="Y60" s="16"/>
      <c r="Z60" s="16"/>
      <c r="AA60" s="16"/>
      <c r="AB60" s="16"/>
      <c r="AC60" s="16"/>
      <c r="AD60" s="16"/>
      <c r="AE60" s="16"/>
      <c r="AF60" s="16"/>
      <c r="AG60" s="16"/>
      <c r="AH60" s="16"/>
    </row>
    <row r="61" spans="1:34" ht="15.75">
      <c r="A61" s="24"/>
      <c r="B61" s="2"/>
      <c r="C61" s="1"/>
      <c r="D61" s="23"/>
      <c r="E61" s="1"/>
      <c r="F61" s="1"/>
      <c r="G61" s="1"/>
      <c r="H61" s="1"/>
      <c r="I61" s="1"/>
      <c r="J61" s="1"/>
      <c r="K61" s="1"/>
      <c r="L61" s="1"/>
      <c r="M61" s="1"/>
      <c r="N61" s="1"/>
      <c r="O61" s="16"/>
      <c r="P61" s="16"/>
      <c r="Q61" s="16"/>
      <c r="R61" s="16"/>
      <c r="S61" s="16"/>
      <c r="T61" s="16"/>
      <c r="U61" s="16"/>
      <c r="V61" s="16"/>
      <c r="W61" s="16"/>
      <c r="X61" s="16"/>
      <c r="Y61" s="16"/>
      <c r="Z61" s="16"/>
      <c r="AA61" s="16"/>
      <c r="AB61" s="16"/>
      <c r="AC61" s="16"/>
      <c r="AD61" s="16"/>
      <c r="AE61" s="16"/>
      <c r="AF61" s="16"/>
      <c r="AG61" s="16"/>
      <c r="AH61" s="16"/>
    </row>
    <row r="62" spans="1:34" ht="15.75">
      <c r="A62" s="1"/>
      <c r="B62" s="2"/>
      <c r="C62" s="1"/>
      <c r="D62" s="25"/>
      <c r="E62" s="1"/>
      <c r="F62" s="1"/>
      <c r="G62" s="1"/>
      <c r="H62" s="1"/>
      <c r="I62" s="1"/>
      <c r="J62" s="1"/>
      <c r="K62" s="1"/>
      <c r="L62" s="1"/>
      <c r="M62" s="1"/>
      <c r="N62" s="1"/>
      <c r="O62" s="16"/>
      <c r="P62" s="16"/>
      <c r="Q62" s="16"/>
      <c r="R62" s="16"/>
      <c r="S62" s="16"/>
      <c r="T62" s="16"/>
      <c r="U62" s="16"/>
      <c r="V62" s="16"/>
      <c r="W62" s="16"/>
      <c r="X62" s="16"/>
      <c r="Y62" s="16"/>
      <c r="Z62" s="16"/>
      <c r="AA62" s="16"/>
      <c r="AB62" s="16"/>
      <c r="AC62" s="16"/>
      <c r="AD62" s="16"/>
      <c r="AE62" s="16"/>
      <c r="AF62" s="16"/>
      <c r="AG62" s="16"/>
      <c r="AH62" s="16"/>
    </row>
    <row r="63" spans="1:34" ht="15.75">
      <c r="A63" s="1"/>
      <c r="B63" s="1"/>
      <c r="C63" s="1"/>
      <c r="D63" s="23"/>
      <c r="E63" s="1"/>
      <c r="F63" s="1"/>
      <c r="G63" s="1"/>
      <c r="H63" s="1"/>
      <c r="I63" s="1"/>
      <c r="J63" s="1"/>
      <c r="K63" s="1"/>
      <c r="L63" s="1"/>
      <c r="M63" s="1"/>
      <c r="N63" s="1"/>
      <c r="O63" s="16"/>
      <c r="P63" s="16"/>
      <c r="Q63" s="16"/>
      <c r="R63" s="16"/>
      <c r="S63" s="16"/>
      <c r="T63" s="16"/>
      <c r="U63" s="16"/>
      <c r="V63" s="16"/>
      <c r="W63" s="16"/>
      <c r="X63" s="16"/>
      <c r="Y63" s="16"/>
      <c r="Z63" s="16"/>
      <c r="AA63" s="16"/>
      <c r="AB63" s="16"/>
      <c r="AC63" s="16"/>
      <c r="AD63" s="16"/>
      <c r="AE63" s="16"/>
      <c r="AF63" s="16"/>
      <c r="AG63" s="16"/>
      <c r="AH63" s="16"/>
    </row>
    <row r="64" spans="1:34" ht="15.75">
      <c r="A64" s="1"/>
      <c r="B64" s="1"/>
      <c r="C64" s="1"/>
      <c r="D64" s="26"/>
      <c r="E64" s="1"/>
      <c r="F64" s="1"/>
      <c r="G64" s="1"/>
      <c r="H64" s="1"/>
      <c r="I64" s="1"/>
      <c r="J64" s="1"/>
      <c r="K64" s="1"/>
      <c r="L64" s="1"/>
      <c r="M64" s="1"/>
      <c r="N64" s="1"/>
      <c r="O64" s="16"/>
      <c r="P64" s="16"/>
      <c r="Q64" s="16"/>
      <c r="R64" s="16"/>
      <c r="S64" s="16"/>
      <c r="T64" s="16"/>
      <c r="U64" s="16"/>
      <c r="V64" s="16"/>
      <c r="W64" s="16"/>
      <c r="X64" s="16"/>
      <c r="Y64" s="16"/>
      <c r="Z64" s="16"/>
      <c r="AA64" s="16"/>
      <c r="AB64" s="16"/>
      <c r="AC64" s="16"/>
      <c r="AD64" s="16"/>
      <c r="AE64" s="16"/>
      <c r="AF64" s="16"/>
      <c r="AG64" s="16"/>
      <c r="AH64" s="16"/>
    </row>
    <row r="65" spans="1:34" ht="15.75">
      <c r="A65" s="3"/>
      <c r="B65" s="2"/>
      <c r="C65" s="1"/>
      <c r="D65" s="25"/>
      <c r="E65" s="1"/>
      <c r="F65" s="1"/>
      <c r="G65" s="1"/>
      <c r="H65" s="1"/>
      <c r="I65" s="1"/>
      <c r="J65" s="1"/>
      <c r="K65" s="1"/>
      <c r="L65" s="1"/>
      <c r="M65" s="1"/>
      <c r="N65" s="1"/>
      <c r="O65" s="16"/>
      <c r="P65" s="16"/>
      <c r="Q65" s="16"/>
      <c r="R65" s="16"/>
      <c r="S65" s="16"/>
      <c r="T65" s="16"/>
      <c r="U65" s="16"/>
      <c r="V65" s="16"/>
      <c r="W65" s="16"/>
      <c r="X65" s="16"/>
      <c r="Y65" s="16"/>
      <c r="Z65" s="16"/>
      <c r="AA65" s="16"/>
      <c r="AB65" s="16"/>
      <c r="AC65" s="16"/>
      <c r="AD65" s="16"/>
      <c r="AE65" s="16"/>
      <c r="AF65" s="16"/>
      <c r="AG65" s="16"/>
      <c r="AH65" s="16"/>
    </row>
    <row r="66" spans="14:34" ht="15.75">
      <c r="N66" s="1"/>
      <c r="O66" s="16"/>
      <c r="P66" s="16"/>
      <c r="Q66" s="16"/>
      <c r="R66" s="16"/>
      <c r="S66" s="16"/>
      <c r="T66" s="16"/>
      <c r="U66" s="16"/>
      <c r="V66" s="16"/>
      <c r="W66" s="16"/>
      <c r="X66" s="16"/>
      <c r="Y66" s="16"/>
      <c r="Z66" s="16"/>
      <c r="AA66" s="16"/>
      <c r="AB66" s="16"/>
      <c r="AC66" s="16"/>
      <c r="AD66" s="16"/>
      <c r="AE66" s="16"/>
      <c r="AF66" s="16"/>
      <c r="AG66" s="16"/>
      <c r="AH66" s="16"/>
    </row>
    <row r="67" spans="14:34" ht="15.75">
      <c r="N67" s="1"/>
      <c r="O67" s="16"/>
      <c r="P67" s="16"/>
      <c r="Q67" s="16"/>
      <c r="R67" s="16"/>
      <c r="S67" s="16"/>
      <c r="T67" s="16"/>
      <c r="U67" s="16"/>
      <c r="V67" s="16"/>
      <c r="W67" s="16"/>
      <c r="X67" s="16"/>
      <c r="Y67" s="16"/>
      <c r="Z67" s="16"/>
      <c r="AA67" s="16"/>
      <c r="AB67" s="16"/>
      <c r="AC67" s="16"/>
      <c r="AD67" s="16"/>
      <c r="AE67" s="16"/>
      <c r="AF67" s="16"/>
      <c r="AG67" s="16"/>
      <c r="AH67" s="16"/>
    </row>
    <row r="68" spans="14:34" ht="15.75">
      <c r="N68" s="1"/>
      <c r="O68" s="16"/>
      <c r="P68" s="16"/>
      <c r="Q68" s="16"/>
      <c r="R68" s="16"/>
      <c r="S68" s="16"/>
      <c r="T68" s="16"/>
      <c r="U68" s="16"/>
      <c r="V68" s="16"/>
      <c r="W68" s="16"/>
      <c r="X68" s="16"/>
      <c r="Y68" s="16"/>
      <c r="Z68" s="16"/>
      <c r="AA68" s="16"/>
      <c r="AB68" s="16"/>
      <c r="AC68" s="16"/>
      <c r="AD68" s="16"/>
      <c r="AE68" s="16"/>
      <c r="AF68" s="16"/>
      <c r="AG68" s="16"/>
      <c r="AH68" s="16"/>
    </row>
    <row r="69" spans="14:23" ht="15.75">
      <c r="N69" s="1"/>
      <c r="O69" s="16"/>
      <c r="P69" s="16"/>
      <c r="Q69" s="16"/>
      <c r="R69" s="16"/>
      <c r="S69" s="16"/>
      <c r="T69" s="16"/>
      <c r="U69" s="16"/>
      <c r="V69" s="16"/>
      <c r="W69" s="16"/>
    </row>
  </sheetData>
  <sheetProtection/>
  <mergeCells count="32">
    <mergeCell ref="A31:A33"/>
    <mergeCell ref="B31:B33"/>
    <mergeCell ref="C31:L33"/>
    <mergeCell ref="A34:A37"/>
    <mergeCell ref="B34:B37"/>
    <mergeCell ref="C34:L37"/>
    <mergeCell ref="C15:L18"/>
    <mergeCell ref="A15:A18"/>
    <mergeCell ref="C11:L14"/>
    <mergeCell ref="A7:A10"/>
    <mergeCell ref="A4:A6"/>
    <mergeCell ref="B4:B6"/>
    <mergeCell ref="B27:B30"/>
    <mergeCell ref="A1:L1"/>
    <mergeCell ref="C23:L26"/>
    <mergeCell ref="A19:A22"/>
    <mergeCell ref="B19:B22"/>
    <mergeCell ref="C19:L22"/>
    <mergeCell ref="A23:A26"/>
    <mergeCell ref="B23:B26"/>
    <mergeCell ref="C27:L30"/>
    <mergeCell ref="B15:B18"/>
    <mergeCell ref="A38:A41"/>
    <mergeCell ref="B38:B41"/>
    <mergeCell ref="C38:L41"/>
    <mergeCell ref="B3:C3"/>
    <mergeCell ref="C4:L6"/>
    <mergeCell ref="B7:B10"/>
    <mergeCell ref="C7:L10"/>
    <mergeCell ref="A11:A14"/>
    <mergeCell ref="B11:B14"/>
    <mergeCell ref="A27:A30"/>
  </mergeCells>
  <printOptions/>
  <pageMargins left="0.7086614173228346" right="0.7086614173228346" top="0.7480314960629921" bottom="0.7480314960629921"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Scott Gennings</cp:lastModifiedBy>
  <cp:lastPrinted>2010-02-16T20:44:20Z</cp:lastPrinted>
  <dcterms:created xsi:type="dcterms:W3CDTF">2010-02-05T01:10:12Z</dcterms:created>
  <dcterms:modified xsi:type="dcterms:W3CDTF">2010-02-19T03:22:07Z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