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C:\Users\Francisco\Desktop\2017-2018 Academic Year Finances\Fall 2017\ENGR 115\Labs\"/>
    </mc:Choice>
  </mc:AlternateContent>
  <bookViews>
    <workbookView xWindow="0" yWindow="0" windowWidth="29385" windowHeight="14700" activeTab="1" xr2:uid="{00000000-000D-0000-FFFF-FFFF00000000}"/>
  </bookViews>
  <sheets>
    <sheet name="Assumptions" sheetId="2" r:id="rId1"/>
    <sheet name="Data Analysis" sheetId="1" r:id="rId2"/>
    <sheet name="Extra Credit" sheetId="3"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5" i="3" l="1"/>
  <c r="C114" i="3"/>
  <c r="C111" i="3"/>
  <c r="C110" i="3"/>
  <c r="C109" i="3"/>
  <c r="C108" i="3"/>
  <c r="C50" i="1"/>
  <c r="C49" i="1"/>
  <c r="C46" i="1"/>
  <c r="C45" i="1"/>
  <c r="C44" i="1"/>
  <c r="C43" i="1"/>
  <c r="C96" i="3"/>
  <c r="C97" i="3" s="1"/>
  <c r="C68" i="3"/>
  <c r="C67" i="3"/>
  <c r="C93" i="3"/>
  <c r="C64" i="3"/>
  <c r="C92" i="3"/>
  <c r="C91" i="3"/>
  <c r="C90" i="3"/>
  <c r="B87" i="3"/>
  <c r="B58" i="3"/>
  <c r="B86" i="3"/>
  <c r="B85" i="3"/>
  <c r="B84" i="3"/>
  <c r="B55" i="3"/>
  <c r="B81" i="3"/>
  <c r="B52" i="3"/>
  <c r="E81" i="3"/>
  <c r="E52" i="3"/>
  <c r="E51" i="3"/>
  <c r="E80" i="3"/>
  <c r="H77" i="3"/>
  <c r="H76" i="3"/>
  <c r="H75" i="3"/>
  <c r="E78" i="3"/>
  <c r="E77" i="3"/>
  <c r="E76" i="3"/>
  <c r="E75" i="3"/>
  <c r="B78" i="3"/>
  <c r="B77" i="3"/>
  <c r="B76" i="3"/>
  <c r="B75" i="3"/>
  <c r="H49" i="3"/>
  <c r="E49" i="3"/>
  <c r="B49" i="3"/>
  <c r="B57" i="3"/>
  <c r="B56" i="3"/>
  <c r="H48" i="3"/>
  <c r="H47" i="3"/>
  <c r="H46" i="3"/>
  <c r="G36" i="3"/>
  <c r="B46" i="3"/>
  <c r="B16" i="3"/>
  <c r="I16" i="3" s="1"/>
  <c r="G38" i="3"/>
  <c r="D38" i="3"/>
  <c r="E38" i="3" s="1"/>
  <c r="H38" i="3" s="1"/>
  <c r="C38" i="3"/>
  <c r="B38" i="3"/>
  <c r="G37" i="3"/>
  <c r="C37" i="3"/>
  <c r="D37" i="3" s="1"/>
  <c r="E37" i="3" s="1"/>
  <c r="H37" i="3" s="1"/>
  <c r="B37" i="3"/>
  <c r="C36" i="3"/>
  <c r="D36" i="3" s="1"/>
  <c r="E36" i="3" s="1"/>
  <c r="B36" i="3"/>
  <c r="K31" i="3"/>
  <c r="H31" i="3"/>
  <c r="G31" i="3"/>
  <c r="F31" i="3"/>
  <c r="D31" i="3"/>
  <c r="C31" i="3"/>
  <c r="B31" i="3"/>
  <c r="K30" i="3"/>
  <c r="H30" i="3"/>
  <c r="G30" i="3"/>
  <c r="F30" i="3"/>
  <c r="D30" i="3"/>
  <c r="C30" i="3"/>
  <c r="B30" i="3"/>
  <c r="K29" i="3"/>
  <c r="H29" i="3"/>
  <c r="G29" i="3"/>
  <c r="F29" i="3"/>
  <c r="D29" i="3"/>
  <c r="E48" i="3" s="1"/>
  <c r="C29" i="3"/>
  <c r="E47" i="3" s="1"/>
  <c r="B29" i="3"/>
  <c r="E31" i="3" s="1"/>
  <c r="F18" i="3"/>
  <c r="D18" i="3"/>
  <c r="C18" i="3"/>
  <c r="E18" i="3" s="1"/>
  <c r="G18" i="3" s="1"/>
  <c r="B18" i="3"/>
  <c r="F17" i="3"/>
  <c r="D17" i="3"/>
  <c r="C17" i="3"/>
  <c r="B17" i="3"/>
  <c r="E17" i="3" s="1"/>
  <c r="G17" i="3" s="1"/>
  <c r="F16" i="3"/>
  <c r="D16" i="3"/>
  <c r="I18" i="3" s="1"/>
  <c r="C16" i="3"/>
  <c r="E16" i="3" s="1"/>
  <c r="C9" i="3"/>
  <c r="H78" i="3" l="1"/>
  <c r="C63" i="3"/>
  <c r="G16" i="3"/>
  <c r="G19" i="3" s="1"/>
  <c r="I30" i="3"/>
  <c r="B48" i="3"/>
  <c r="C61" i="3" s="1"/>
  <c r="E46" i="3"/>
  <c r="I29" i="3"/>
  <c r="I17" i="3"/>
  <c r="I19" i="3" s="1"/>
  <c r="B47" i="3"/>
  <c r="H36" i="3"/>
  <c r="H39" i="3" s="1"/>
  <c r="E29" i="3"/>
  <c r="J29" i="3" s="1"/>
  <c r="L29" i="3" s="1"/>
  <c r="I31" i="3"/>
  <c r="J31" i="3" s="1"/>
  <c r="L31" i="3" s="1"/>
  <c r="E30" i="3"/>
  <c r="J30" i="3" s="1"/>
  <c r="L30" i="3" s="1"/>
  <c r="G37" i="1"/>
  <c r="G38" i="1"/>
  <c r="G36" i="1"/>
  <c r="C62" i="3" l="1"/>
  <c r="L32" i="3"/>
  <c r="C9" i="1"/>
  <c r="F18" i="1" l="1"/>
  <c r="F17" i="1"/>
  <c r="F16" i="1"/>
  <c r="H30" i="1" l="1"/>
  <c r="H31" i="1"/>
  <c r="H29" i="1"/>
  <c r="G30" i="1"/>
  <c r="G31" i="1"/>
  <c r="G29" i="1"/>
  <c r="F30" i="1"/>
  <c r="F31" i="1"/>
  <c r="F29" i="1"/>
  <c r="D30" i="1"/>
  <c r="D31" i="1"/>
  <c r="D29" i="1"/>
  <c r="C30" i="1"/>
  <c r="C31" i="1"/>
  <c r="C29" i="1"/>
  <c r="B30" i="1"/>
  <c r="B31" i="1"/>
  <c r="B29" i="1"/>
  <c r="K29" i="1"/>
  <c r="K30" i="1"/>
  <c r="K31" i="1"/>
  <c r="B38" i="1"/>
  <c r="B37" i="1"/>
  <c r="B36" i="1"/>
  <c r="C37" i="1"/>
  <c r="D37" i="1" s="1"/>
  <c r="C38" i="1"/>
  <c r="D38" i="1" s="1"/>
  <c r="C36" i="1"/>
  <c r="D36" i="1" s="1"/>
  <c r="D17" i="1"/>
  <c r="D18" i="1"/>
  <c r="D16" i="1"/>
  <c r="C17" i="1"/>
  <c r="C18" i="1"/>
  <c r="C16" i="1"/>
  <c r="B17" i="1"/>
  <c r="B18" i="1"/>
  <c r="B16" i="1"/>
  <c r="I31" i="1" l="1"/>
  <c r="E38" i="1"/>
  <c r="H38" i="1" s="1"/>
  <c r="E31" i="1"/>
  <c r="E30" i="1"/>
  <c r="E29" i="1"/>
  <c r="I30" i="1"/>
  <c r="I29" i="1"/>
  <c r="E16" i="1"/>
  <c r="G16" i="1" s="1"/>
  <c r="E17" i="1"/>
  <c r="G17" i="1" s="1"/>
  <c r="E36" i="1"/>
  <c r="H36" i="1" s="1"/>
  <c r="E18" i="1"/>
  <c r="G18" i="1" s="1"/>
  <c r="E37" i="1"/>
  <c r="H37" i="1" s="1"/>
  <c r="H39" i="1" l="1"/>
  <c r="J31" i="1"/>
  <c r="L31" i="1" s="1"/>
  <c r="J30" i="1"/>
  <c r="L30" i="1" s="1"/>
  <c r="J29" i="1"/>
  <c r="L29" i="1" s="1"/>
  <c r="G19" i="1"/>
  <c r="L32" i="1" l="1"/>
</calcChain>
</file>

<file path=xl/sharedStrings.xml><?xml version="1.0" encoding="utf-8"?>
<sst xmlns="http://schemas.openxmlformats.org/spreadsheetml/2006/main" count="189" uniqueCount="73">
  <si>
    <t>Width (m)</t>
  </si>
  <si>
    <t>Length (m)</t>
  </si>
  <si>
    <r>
      <t>Volume (m</t>
    </r>
    <r>
      <rPr>
        <vertAlign val="superscript"/>
        <sz val="11"/>
        <color theme="1"/>
        <rFont val="Calibri"/>
        <family val="2"/>
        <scheme val="minor"/>
      </rPr>
      <t>3</t>
    </r>
    <r>
      <rPr>
        <sz val="11"/>
        <color theme="1"/>
        <rFont val="Calibri"/>
        <family val="2"/>
        <scheme val="minor"/>
      </rPr>
      <t>)</t>
    </r>
  </si>
  <si>
    <r>
      <t>Flow rate (m</t>
    </r>
    <r>
      <rPr>
        <vertAlign val="superscript"/>
        <sz val="11"/>
        <color theme="1"/>
        <rFont val="Calibri"/>
        <family val="2"/>
        <scheme val="minor"/>
      </rPr>
      <t>3</t>
    </r>
    <r>
      <rPr>
        <sz val="11"/>
        <color theme="1"/>
        <rFont val="Calibri"/>
        <family val="2"/>
        <scheme val="minor"/>
      </rPr>
      <t>/hr)</t>
    </r>
  </si>
  <si>
    <t>Depth (m)</t>
  </si>
  <si>
    <t>Input parameters</t>
  </si>
  <si>
    <r>
      <t>Surface Area Lake (m</t>
    </r>
    <r>
      <rPr>
        <vertAlign val="superscript"/>
        <sz val="11"/>
        <color theme="1"/>
        <rFont val="Calibri"/>
        <family val="2"/>
        <scheme val="minor"/>
      </rPr>
      <t>2</t>
    </r>
    <r>
      <rPr>
        <sz val="11"/>
        <color theme="1"/>
        <rFont val="Calibri"/>
        <family val="2"/>
        <scheme val="minor"/>
      </rPr>
      <t>)</t>
    </r>
  </si>
  <si>
    <t>Evaporation (in/mo)</t>
  </si>
  <si>
    <t>Correction Factor</t>
  </si>
  <si>
    <t>Constants</t>
  </si>
  <si>
    <t>Seconds per min</t>
  </si>
  <si>
    <t>Min per hour</t>
  </si>
  <si>
    <t>cm per m</t>
  </si>
  <si>
    <r>
      <t>Surface area (m</t>
    </r>
    <r>
      <rPr>
        <vertAlign val="superscript"/>
        <sz val="11"/>
        <color theme="1"/>
        <rFont val="Calibri"/>
        <family val="2"/>
        <scheme val="minor"/>
      </rPr>
      <t>2</t>
    </r>
    <r>
      <rPr>
        <sz val="11"/>
        <color theme="1"/>
        <rFont val="Calibri"/>
        <family val="2"/>
        <scheme val="minor"/>
      </rPr>
      <t>)</t>
    </r>
  </si>
  <si>
    <t>Francisco Alvarez</t>
  </si>
  <si>
    <t>Time (hr)</t>
  </si>
  <si>
    <t>Diameter (m)</t>
  </si>
  <si>
    <t>Avg. Flow</t>
  </si>
  <si>
    <t>Avg. Flow:</t>
  </si>
  <si>
    <t>ENGR 115</t>
  </si>
  <si>
    <r>
      <t>Avg. Volume (m</t>
    </r>
    <r>
      <rPr>
        <vertAlign val="superscript"/>
        <sz val="11"/>
        <color theme="1"/>
        <rFont val="Calibri"/>
        <family val="2"/>
        <scheme val="minor"/>
      </rPr>
      <t>3</t>
    </r>
    <r>
      <rPr>
        <sz val="11"/>
        <color theme="1"/>
        <rFont val="Calibri"/>
        <family val="2"/>
        <scheme val="minor"/>
      </rPr>
      <t>)</t>
    </r>
  </si>
  <si>
    <r>
      <t>Avg. outflow rate (m</t>
    </r>
    <r>
      <rPr>
        <vertAlign val="superscript"/>
        <sz val="11"/>
        <color theme="1"/>
        <rFont val="Calibri"/>
        <family val="2"/>
        <scheme val="minor"/>
      </rPr>
      <t>3</t>
    </r>
    <r>
      <rPr>
        <sz val="11"/>
        <color theme="1"/>
        <rFont val="Calibri"/>
        <family val="2"/>
        <scheme val="minor"/>
      </rPr>
      <t>/hr)</t>
    </r>
  </si>
  <si>
    <t>Avg. inflow rate 2 (m3/hr)</t>
  </si>
  <si>
    <r>
      <t>Avg. inflow rate 1 (m</t>
    </r>
    <r>
      <rPr>
        <vertAlign val="superscript"/>
        <sz val="11"/>
        <color theme="1"/>
        <rFont val="Calibri"/>
        <family val="2"/>
        <scheme val="minor"/>
      </rPr>
      <t>3</t>
    </r>
    <r>
      <rPr>
        <sz val="11"/>
        <color theme="1"/>
        <rFont val="Calibri"/>
        <family val="2"/>
        <scheme val="minor"/>
      </rPr>
      <t>/hr)</t>
    </r>
  </si>
  <si>
    <t>cm per in</t>
  </si>
  <si>
    <t>hours per day</t>
  </si>
  <si>
    <t>days per month</t>
  </si>
  <si>
    <r>
      <t>Depth</t>
    </r>
    <r>
      <rPr>
        <vertAlign val="subscript"/>
        <sz val="11"/>
        <color theme="1"/>
        <rFont val="Calibri"/>
        <family val="2"/>
        <scheme val="minor"/>
      </rPr>
      <t>1</t>
    </r>
    <r>
      <rPr>
        <sz val="11"/>
        <color theme="1"/>
        <rFont val="Calibri"/>
        <family val="2"/>
        <scheme val="minor"/>
      </rPr>
      <t xml:space="preserve"> (m)</t>
    </r>
  </si>
  <si>
    <r>
      <t>Length</t>
    </r>
    <r>
      <rPr>
        <vertAlign val="subscript"/>
        <sz val="11"/>
        <color theme="1"/>
        <rFont val="Calibri"/>
        <family val="2"/>
        <scheme val="minor"/>
      </rPr>
      <t>1</t>
    </r>
    <r>
      <rPr>
        <sz val="11"/>
        <color theme="1"/>
        <rFont val="Calibri"/>
        <family val="2"/>
        <scheme val="minor"/>
      </rPr>
      <t xml:space="preserve"> (m)</t>
    </r>
  </si>
  <si>
    <r>
      <t>Width</t>
    </r>
    <r>
      <rPr>
        <vertAlign val="subscript"/>
        <sz val="11"/>
        <color theme="1"/>
        <rFont val="Calibri"/>
        <family val="2"/>
        <scheme val="minor"/>
      </rPr>
      <t>1</t>
    </r>
    <r>
      <rPr>
        <sz val="11"/>
        <color theme="1"/>
        <rFont val="Calibri"/>
        <family val="2"/>
        <scheme val="minor"/>
      </rPr>
      <t xml:space="preserve"> (m)</t>
    </r>
  </si>
  <si>
    <r>
      <t>Volume</t>
    </r>
    <r>
      <rPr>
        <vertAlign val="subscript"/>
        <sz val="11"/>
        <color theme="1"/>
        <rFont val="Calibri"/>
        <family val="2"/>
        <scheme val="minor"/>
      </rPr>
      <t>1</t>
    </r>
    <r>
      <rPr>
        <sz val="11"/>
        <color theme="1"/>
        <rFont val="Calibri"/>
        <family val="2"/>
        <scheme val="minor"/>
      </rPr>
      <t xml:space="preserve"> (m</t>
    </r>
    <r>
      <rPr>
        <vertAlign val="superscript"/>
        <sz val="11"/>
        <color theme="1"/>
        <rFont val="Calibri"/>
        <family val="2"/>
        <scheme val="minor"/>
      </rPr>
      <t>3</t>
    </r>
    <r>
      <rPr>
        <sz val="11"/>
        <color theme="1"/>
        <rFont val="Calibri"/>
        <family val="2"/>
        <scheme val="minor"/>
      </rPr>
      <t>)</t>
    </r>
  </si>
  <si>
    <r>
      <t>Depth</t>
    </r>
    <r>
      <rPr>
        <vertAlign val="subscript"/>
        <sz val="11"/>
        <color theme="1"/>
        <rFont val="Calibri"/>
        <family val="2"/>
        <scheme val="minor"/>
      </rPr>
      <t>2</t>
    </r>
    <r>
      <rPr>
        <sz val="11"/>
        <color theme="1"/>
        <rFont val="Calibri"/>
        <family val="2"/>
        <scheme val="minor"/>
      </rPr>
      <t xml:space="preserve"> (m)</t>
    </r>
  </si>
  <si>
    <r>
      <t>Width</t>
    </r>
    <r>
      <rPr>
        <vertAlign val="subscript"/>
        <sz val="11"/>
        <color theme="1"/>
        <rFont val="Calibri"/>
        <family val="2"/>
        <scheme val="minor"/>
      </rPr>
      <t>2</t>
    </r>
    <r>
      <rPr>
        <sz val="11"/>
        <color theme="1"/>
        <rFont val="Calibri"/>
        <family val="2"/>
        <scheme val="minor"/>
      </rPr>
      <t xml:space="preserve"> (m)</t>
    </r>
  </si>
  <si>
    <r>
      <t>Length</t>
    </r>
    <r>
      <rPr>
        <vertAlign val="subscript"/>
        <sz val="11"/>
        <color theme="1"/>
        <rFont val="Calibri"/>
        <family val="2"/>
        <scheme val="minor"/>
      </rPr>
      <t>2</t>
    </r>
    <r>
      <rPr>
        <sz val="11"/>
        <color theme="1"/>
        <rFont val="Calibri"/>
        <family val="2"/>
        <scheme val="minor"/>
      </rPr>
      <t xml:space="preserve"> (m)</t>
    </r>
  </si>
  <si>
    <r>
      <t>Volume</t>
    </r>
    <r>
      <rPr>
        <vertAlign val="subscript"/>
        <sz val="11"/>
        <color theme="1"/>
        <rFont val="Calibri"/>
        <family val="2"/>
        <scheme val="minor"/>
      </rPr>
      <t xml:space="preserve">2  </t>
    </r>
    <r>
      <rPr>
        <sz val="11"/>
        <color theme="1"/>
        <rFont val="Calibri"/>
        <family val="2"/>
        <scheme val="minor"/>
      </rPr>
      <t>(m</t>
    </r>
    <r>
      <rPr>
        <vertAlign val="superscript"/>
        <sz val="11"/>
        <color theme="1"/>
        <rFont val="Calibri"/>
        <family val="2"/>
        <scheme val="minor"/>
      </rPr>
      <t>3</t>
    </r>
    <r>
      <rPr>
        <sz val="11"/>
        <color theme="1"/>
        <rFont val="Calibri"/>
        <family val="2"/>
        <scheme val="minor"/>
      </rPr>
      <t>)</t>
    </r>
  </si>
  <si>
    <r>
      <t>Lake Evaporation (m</t>
    </r>
    <r>
      <rPr>
        <vertAlign val="superscript"/>
        <sz val="11"/>
        <color theme="1"/>
        <rFont val="Calibri"/>
        <family val="2"/>
        <scheme val="minor"/>
      </rPr>
      <t>3</t>
    </r>
    <r>
      <rPr>
        <sz val="11"/>
        <color theme="1"/>
        <rFont val="Calibri"/>
        <family val="2"/>
        <scheme val="minor"/>
      </rPr>
      <t>/hr)</t>
    </r>
  </si>
  <si>
    <t>Stream 1: Inflow</t>
  </si>
  <si>
    <t>Stream 2: Inflow</t>
  </si>
  <si>
    <t>Outflow</t>
  </si>
  <si>
    <r>
      <rPr>
        <b/>
        <sz val="11"/>
        <color theme="1"/>
        <rFont val="Calibri"/>
        <family val="2"/>
        <scheme val="minor"/>
      </rPr>
      <t>Figure 1:</t>
    </r>
    <r>
      <rPr>
        <sz val="11"/>
        <color theme="1"/>
        <rFont val="Calibri"/>
        <family val="2"/>
        <scheme val="minor"/>
      </rPr>
      <t xml:space="preserve"> Estimated surface area of measured stream</t>
    </r>
  </si>
  <si>
    <t>Mass Balance Analysis</t>
  </si>
  <si>
    <r>
      <t>Accumulation (m</t>
    </r>
    <r>
      <rPr>
        <b/>
        <vertAlign val="superscript"/>
        <sz val="11"/>
        <color theme="0"/>
        <rFont val="Calibri"/>
        <family val="2"/>
        <scheme val="minor"/>
      </rPr>
      <t>3</t>
    </r>
    <r>
      <rPr>
        <b/>
        <sz val="11"/>
        <color theme="0"/>
        <rFont val="Calibri"/>
        <family val="2"/>
        <scheme val="minor"/>
      </rPr>
      <t>/hr)</t>
    </r>
  </si>
  <si>
    <t>Assumptions</t>
  </si>
  <si>
    <t>Pan evaporation (m/hr)</t>
  </si>
  <si>
    <t>Time (sec)</t>
  </si>
  <si>
    <t>Results Analysis</t>
  </si>
  <si>
    <r>
      <rPr>
        <b/>
        <i/>
        <sz val="12"/>
        <color theme="7" tint="-0.249977111117893"/>
        <rFont val="Calibri"/>
        <family val="2"/>
        <scheme val="minor"/>
      </rPr>
      <t>Accumulation</t>
    </r>
    <r>
      <rPr>
        <b/>
        <i/>
        <sz val="12"/>
        <color theme="1"/>
        <rFont val="Calibri"/>
        <family val="2"/>
        <scheme val="minor"/>
      </rPr>
      <t xml:space="preserve"> = </t>
    </r>
    <r>
      <rPr>
        <b/>
        <i/>
        <sz val="12"/>
        <color theme="4" tint="-0.249977111117893"/>
        <rFont val="Calibri"/>
        <family val="2"/>
        <scheme val="minor"/>
      </rPr>
      <t>Ins</t>
    </r>
    <r>
      <rPr>
        <b/>
        <i/>
        <sz val="12"/>
        <color theme="1"/>
        <rFont val="Calibri"/>
        <family val="2"/>
        <scheme val="minor"/>
      </rPr>
      <t xml:space="preserve"> - </t>
    </r>
    <r>
      <rPr>
        <b/>
        <i/>
        <sz val="12"/>
        <color theme="9" tint="-0.249977111117893"/>
        <rFont val="Calibri"/>
        <family val="2"/>
        <scheme val="minor"/>
      </rPr>
      <t>Outs</t>
    </r>
    <r>
      <rPr>
        <b/>
        <i/>
        <sz val="12"/>
        <color theme="1"/>
        <rFont val="Calibri"/>
        <family val="2"/>
        <scheme val="minor"/>
      </rPr>
      <t xml:space="preserve"> + </t>
    </r>
    <r>
      <rPr>
        <b/>
        <i/>
        <sz val="12"/>
        <color theme="4" tint="-0.249977111117893"/>
        <rFont val="Calibri"/>
        <family val="2"/>
        <scheme val="minor"/>
      </rPr>
      <t>Sources</t>
    </r>
    <r>
      <rPr>
        <b/>
        <i/>
        <sz val="12"/>
        <color theme="1"/>
        <rFont val="Calibri"/>
        <family val="2"/>
        <scheme val="minor"/>
      </rPr>
      <t xml:space="preserve"> - </t>
    </r>
    <r>
      <rPr>
        <b/>
        <i/>
        <sz val="12"/>
        <color theme="9" tint="-0.249977111117893"/>
        <rFont val="Calibri"/>
        <family val="2"/>
        <scheme val="minor"/>
      </rPr>
      <t>Sinks</t>
    </r>
  </si>
  <si>
    <t>Ping Pong</t>
  </si>
  <si>
    <t>Bucket</t>
  </si>
  <si>
    <t>Data Collection Period (hr)</t>
  </si>
  <si>
    <r>
      <t xml:space="preserve">Given the data collected, the results clearly show that Fern Lake is </t>
    </r>
    <r>
      <rPr>
        <i/>
        <sz val="11"/>
        <color theme="1"/>
        <rFont val="Calibri"/>
        <family val="2"/>
        <scheme val="minor"/>
      </rPr>
      <t xml:space="preserve">not in steady state </t>
    </r>
    <r>
      <rPr>
        <sz val="11"/>
        <color theme="1"/>
        <rFont val="Calibri"/>
        <family val="2"/>
        <scheme val="minor"/>
      </rPr>
      <t>considering an accumulation of 10.8m</t>
    </r>
    <r>
      <rPr>
        <vertAlign val="superscript"/>
        <sz val="11"/>
        <color theme="1"/>
        <rFont val="Calibri"/>
        <family val="2"/>
        <scheme val="minor"/>
      </rPr>
      <t>3</t>
    </r>
    <r>
      <rPr>
        <sz val="11"/>
        <color theme="1"/>
        <rFont val="Calibri"/>
        <family val="2"/>
        <scheme val="minor"/>
      </rPr>
      <t xml:space="preserve"> of water over the data collection peroid of one hour. In order for Fern Lake to be conisidered to be in steady state, its overall accumulation should be equal to zero, which it is clearly not. Fern lake seems to have a greater inflow of water, leading to an overall positive net accumulation.</t>
    </r>
  </si>
  <si>
    <r>
      <t>Volume change (m</t>
    </r>
    <r>
      <rPr>
        <b/>
        <vertAlign val="superscript"/>
        <sz val="11"/>
        <color theme="0"/>
        <rFont val="Calibri"/>
        <family val="2"/>
        <scheme val="minor"/>
      </rPr>
      <t>3</t>
    </r>
    <r>
      <rPr>
        <b/>
        <sz val="11"/>
        <color theme="0"/>
        <rFont val="Calibri"/>
        <family val="2"/>
        <scheme val="minor"/>
      </rPr>
      <t>/hr)</t>
    </r>
  </si>
  <si>
    <r>
      <t>Depth of water change (cm</t>
    </r>
    <r>
      <rPr>
        <b/>
        <sz val="11"/>
        <color theme="0"/>
        <rFont val="Calibri"/>
        <family val="2"/>
        <scheme val="minor"/>
      </rPr>
      <t>/hr)</t>
    </r>
  </si>
  <si>
    <t>Serveral assumptions were made in order to most effectively calculate the rate of change in volume over time in Fern Lake. We assumed that the rate of inflitation was negligible, considering the short peroid of time taken for data collection. Also having no practical way to measure any possible infilatration provided another reason to ignore this output. Transpiration was also ignored for similar reasons: no practical form for data collection. There was no precipitation during the data collection period, so it was not considered in the calculations. Since there was no precipitation during the lab period, any possibility of runoff was also ignored. Lastly, we assumed that the fish hatchery was not extracting water from the lake during the data collection period, ignoring it as a possible output. This left us with a remainder of two possible outputs and inputs, respectively. The two inflow streams were our inputs and the the single outflow stream and evaporation were our ouptputs.</t>
  </si>
  <si>
    <t>10% Increase</t>
  </si>
  <si>
    <t>Volume (m)</t>
  </si>
  <si>
    <t>10% decrease</t>
  </si>
  <si>
    <t>Stream 1</t>
  </si>
  <si>
    <t>Stream 2</t>
  </si>
  <si>
    <t>Inflow: Change in volume measurements (LxWxH)</t>
  </si>
  <si>
    <t>Avg volume</t>
  </si>
  <si>
    <r>
      <t>Avg Flow</t>
    </r>
    <r>
      <rPr>
        <vertAlign val="subscript"/>
        <sz val="11"/>
        <color theme="1"/>
        <rFont val="Calibri"/>
        <family val="2"/>
        <scheme val="minor"/>
      </rPr>
      <t>1</t>
    </r>
    <r>
      <rPr>
        <sz val="11"/>
        <color theme="1"/>
        <rFont val="Calibri"/>
        <family val="2"/>
        <scheme val="minor"/>
      </rPr>
      <t>:</t>
    </r>
  </si>
  <si>
    <r>
      <t>Avg Flow</t>
    </r>
    <r>
      <rPr>
        <vertAlign val="subscript"/>
        <sz val="11"/>
        <color theme="1"/>
        <rFont val="Calibri"/>
        <family val="2"/>
        <scheme val="minor"/>
      </rPr>
      <t>2</t>
    </r>
    <r>
      <rPr>
        <sz val="11"/>
        <color theme="1"/>
        <rFont val="Calibri"/>
        <family val="2"/>
        <scheme val="minor"/>
      </rPr>
      <t>:</t>
    </r>
  </si>
  <si>
    <r>
      <t>Avg volume</t>
    </r>
    <r>
      <rPr>
        <vertAlign val="subscript"/>
        <sz val="11"/>
        <color theme="1"/>
        <rFont val="Calibri"/>
        <family val="2"/>
        <scheme val="minor"/>
      </rPr>
      <t>1,2</t>
    </r>
  </si>
  <si>
    <t>Outflow: Change in time</t>
  </si>
  <si>
    <r>
      <t>Time</t>
    </r>
    <r>
      <rPr>
        <vertAlign val="subscript"/>
        <sz val="11"/>
        <color theme="1"/>
        <rFont val="Calibri"/>
        <family val="2"/>
        <scheme val="minor"/>
      </rPr>
      <t>1</t>
    </r>
  </si>
  <si>
    <r>
      <t>Time</t>
    </r>
    <r>
      <rPr>
        <vertAlign val="subscript"/>
        <sz val="11"/>
        <color theme="1"/>
        <rFont val="Calibri"/>
        <family val="2"/>
        <scheme val="minor"/>
      </rPr>
      <t>2</t>
    </r>
    <r>
      <rPr>
        <sz val="11"/>
        <color theme="1"/>
        <rFont val="Calibri"/>
        <family val="2"/>
        <scheme val="minor"/>
      </rPr>
      <t/>
    </r>
  </si>
  <si>
    <r>
      <t>Time</t>
    </r>
    <r>
      <rPr>
        <vertAlign val="subscript"/>
        <sz val="11"/>
        <color theme="1"/>
        <rFont val="Calibri"/>
        <family val="2"/>
        <scheme val="minor"/>
      </rPr>
      <t>3</t>
    </r>
    <r>
      <rPr>
        <sz val="11"/>
        <color theme="1"/>
        <rFont val="Calibri"/>
        <family val="2"/>
        <scheme val="minor"/>
      </rPr>
      <t/>
    </r>
  </si>
  <si>
    <t>Avg flow rate</t>
  </si>
  <si>
    <t>10% Decrease</t>
  </si>
  <si>
    <r>
      <t>Volume Change Rate (m</t>
    </r>
    <r>
      <rPr>
        <b/>
        <vertAlign val="superscript"/>
        <sz val="11"/>
        <color theme="0"/>
        <rFont val="Calibri"/>
        <family val="2"/>
        <scheme val="minor"/>
      </rPr>
      <t>3</t>
    </r>
    <r>
      <rPr>
        <b/>
        <sz val="11"/>
        <color theme="0"/>
        <rFont val="Calibri"/>
        <family val="2"/>
        <scheme val="minor"/>
      </rPr>
      <t>/hr)</t>
    </r>
  </si>
  <si>
    <t>Errors in two separate measuring techniques time measurements and volume measurements taken with a ruler were found to cause fairly significant deviations in volume change calculations. For example, an 10% increase in the measurements used to calulate volume resulted in nearly a ten fold difference from the data taken, leading me to belive that using these types of methods for these types of calulations allow for only a qualitative analysis of the rate of change in volume. More sophisticated measuring techniques would be needed for a more accurate quantitative analysis.</t>
  </si>
  <si>
    <t>EXTRA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</si>
</sst>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vertAlign val="superscript"/>
      <sz val="11"/>
      <color theme="1"/>
      <name val="Calibri"/>
      <family val="2"/>
      <scheme val="minor"/>
    </font>
    <font>
      <vertAlign val="subscrip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sz val="12"/>
      <color theme="1"/>
      <name val="Calibri"/>
      <family val="2"/>
      <scheme val="minor"/>
    </font>
    <font>
      <b/>
      <vertAlign val="superscript"/>
      <sz val="11"/>
      <color theme="0"/>
      <name val="Calibri"/>
      <family val="2"/>
      <scheme val="minor"/>
    </font>
    <font>
      <b/>
      <sz val="11"/>
      <name val="Calibri"/>
      <family val="2"/>
      <scheme val="minor"/>
    </font>
    <font>
      <sz val="11"/>
      <name val="Calibri"/>
      <family val="2"/>
      <scheme val="minor"/>
    </font>
    <font>
      <b/>
      <sz val="12"/>
      <name val="Calibri"/>
      <family val="2"/>
      <scheme val="minor"/>
    </font>
    <font>
      <b/>
      <i/>
      <sz val="12"/>
      <color theme="1"/>
      <name val="Calibri"/>
      <family val="2"/>
      <scheme val="minor"/>
    </font>
    <font>
      <b/>
      <i/>
      <sz val="12"/>
      <color theme="7" tint="-0.249977111117893"/>
      <name val="Calibri"/>
      <family val="2"/>
      <scheme val="minor"/>
    </font>
    <font>
      <b/>
      <i/>
      <sz val="12"/>
      <color theme="4" tint="-0.249977111117893"/>
      <name val="Calibri"/>
      <family val="2"/>
      <scheme val="minor"/>
    </font>
    <font>
      <b/>
      <i/>
      <sz val="12"/>
      <color theme="9" tint="-0.249977111117893"/>
      <name val="Calibri"/>
      <family val="2"/>
      <scheme val="minor"/>
    </font>
    <font>
      <i/>
      <sz val="11"/>
      <color theme="1"/>
      <name val="Calibri"/>
      <family val="2"/>
      <scheme val="minor"/>
    </font>
    <font>
      <sz val="14"/>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06">
    <xf numFmtId="0" fontId="0" fillId="0" borderId="0" xfId="0"/>
    <xf numFmtId="11" fontId="0" fillId="0" borderId="0" xfId="0" applyNumberFormat="1"/>
    <xf numFmtId="11" fontId="0" fillId="2" borderId="7" xfId="0" applyNumberFormat="1" applyFill="1" applyBorder="1"/>
    <xf numFmtId="11" fontId="0" fillId="9" borderId="7" xfId="0" applyNumberFormat="1" applyFill="1" applyBorder="1"/>
    <xf numFmtId="11" fontId="0" fillId="9" borderId="6" xfId="0" applyNumberFormat="1" applyFill="1" applyBorder="1"/>
    <xf numFmtId="0" fontId="11" fillId="15" borderId="10" xfId="0" applyFont="1" applyFill="1" applyBorder="1"/>
    <xf numFmtId="0" fontId="9" fillId="15" borderId="12" xfId="0" applyFont="1" applyFill="1" applyBorder="1"/>
    <xf numFmtId="0" fontId="0" fillId="0" borderId="1" xfId="0" applyBorder="1"/>
    <xf numFmtId="0" fontId="0" fillId="0" borderId="16" xfId="0" applyBorder="1"/>
    <xf numFmtId="11" fontId="10" fillId="13" borderId="6" xfId="0" applyNumberFormat="1" applyFont="1" applyFill="1" applyBorder="1" applyAlignment="1">
      <alignment horizontal="center"/>
    </xf>
    <xf numFmtId="11" fontId="0" fillId="2" borderId="6" xfId="0" applyNumberFormat="1" applyFill="1" applyBorder="1"/>
    <xf numFmtId="0" fontId="4" fillId="8" borderId="14" xfId="0" applyFont="1" applyFill="1" applyBorder="1"/>
    <xf numFmtId="11" fontId="4" fillId="8" borderId="15" xfId="0" applyNumberFormat="1" applyFont="1" applyFill="1" applyBorder="1"/>
    <xf numFmtId="0" fontId="0" fillId="6" borderId="13" xfId="0" applyFill="1" applyBorder="1"/>
    <xf numFmtId="0" fontId="0" fillId="7" borderId="8" xfId="0" applyFill="1" applyBorder="1"/>
    <xf numFmtId="0" fontId="0" fillId="7" borderId="0" xfId="0" applyFill="1" applyBorder="1"/>
    <xf numFmtId="0" fontId="0" fillId="7" borderId="7" xfId="0" applyFill="1" applyBorder="1"/>
    <xf numFmtId="0" fontId="0" fillId="7" borderId="6" xfId="0" applyFill="1" applyBorder="1"/>
    <xf numFmtId="11" fontId="4" fillId="8" borderId="14" xfId="0" applyNumberFormat="1" applyFont="1" applyFill="1" applyBorder="1"/>
    <xf numFmtId="11" fontId="4" fillId="12" borderId="14" xfId="0" applyNumberFormat="1" applyFont="1" applyFill="1" applyBorder="1"/>
    <xf numFmtId="11" fontId="4" fillId="12" borderId="15" xfId="0" applyNumberFormat="1" applyFont="1" applyFill="1" applyBorder="1"/>
    <xf numFmtId="0" fontId="0" fillId="3" borderId="4" xfId="0" applyFill="1" applyBorder="1"/>
    <xf numFmtId="0" fontId="7" fillId="3" borderId="3" xfId="0" applyFont="1" applyFill="1" applyBorder="1"/>
    <xf numFmtId="0" fontId="0" fillId="6" borderId="5" xfId="0" applyFill="1" applyBorder="1"/>
    <xf numFmtId="0" fontId="0" fillId="6" borderId="6" xfId="0" applyFill="1" applyBorder="1"/>
    <xf numFmtId="0" fontId="6" fillId="5" borderId="10" xfId="0" applyFont="1" applyFill="1" applyBorder="1"/>
    <xf numFmtId="0" fontId="0" fillId="5" borderId="16" xfId="0" applyFill="1" applyBorder="1"/>
    <xf numFmtId="0" fontId="0" fillId="5" borderId="12" xfId="0" applyFill="1" applyBorder="1"/>
    <xf numFmtId="0" fontId="0" fillId="11" borderId="5" xfId="0" applyFill="1" applyBorder="1"/>
    <xf numFmtId="0" fontId="0" fillId="11" borderId="6" xfId="0" applyFill="1" applyBorder="1"/>
    <xf numFmtId="0" fontId="6" fillId="12" borderId="10" xfId="0" applyFont="1" applyFill="1" applyBorder="1"/>
    <xf numFmtId="0" fontId="0" fillId="12" borderId="16" xfId="0" applyFill="1" applyBorder="1"/>
    <xf numFmtId="0" fontId="0" fillId="12" borderId="12" xfId="0" applyFill="1" applyBorder="1"/>
    <xf numFmtId="0" fontId="4" fillId="14" borderId="9" xfId="0" applyFont="1" applyFill="1" applyBorder="1" applyAlignment="1">
      <alignment horizontal="left"/>
    </xf>
    <xf numFmtId="0" fontId="4" fillId="14" borderId="5" xfId="0" applyFont="1" applyFill="1" applyBorder="1" applyAlignment="1">
      <alignment horizontal="left"/>
    </xf>
    <xf numFmtId="11" fontId="10" fillId="13" borderId="5" xfId="0" applyNumberFormat="1" applyFont="1" applyFill="1" applyBorder="1" applyAlignment="1">
      <alignment horizontal="center"/>
    </xf>
    <xf numFmtId="0" fontId="12" fillId="15" borderId="11" xfId="0" applyFont="1" applyFill="1" applyBorder="1" applyAlignment="1"/>
    <xf numFmtId="0" fontId="0" fillId="0" borderId="12" xfId="0" applyBorder="1"/>
    <xf numFmtId="0" fontId="0" fillId="4" borderId="1" xfId="0" applyFill="1" applyBorder="1"/>
    <xf numFmtId="0" fontId="0" fillId="0" borderId="1" xfId="0" applyBorder="1" applyAlignment="1">
      <alignment horizontal="left"/>
    </xf>
    <xf numFmtId="11" fontId="0" fillId="4" borderId="1" xfId="0" applyNumberFormat="1" applyFill="1" applyBorder="1" applyAlignment="1">
      <alignment horizontal="right"/>
    </xf>
    <xf numFmtId="11" fontId="0" fillId="0" borderId="1" xfId="0" applyNumberFormat="1" applyBorder="1"/>
    <xf numFmtId="0" fontId="0" fillId="2" borderId="1" xfId="0" applyFill="1" applyBorder="1"/>
    <xf numFmtId="11" fontId="0" fillId="2" borderId="1" xfId="0" applyNumberFormat="1" applyFill="1" applyBorder="1"/>
    <xf numFmtId="11" fontId="0" fillId="0" borderId="1" xfId="0" applyNumberFormat="1" applyFill="1" applyBorder="1"/>
    <xf numFmtId="0" fontId="0" fillId="10" borderId="1" xfId="0" applyFill="1" applyBorder="1"/>
    <xf numFmtId="11" fontId="0" fillId="10" borderId="1" xfId="0" applyNumberFormat="1" applyFill="1" applyBorder="1"/>
    <xf numFmtId="0" fontId="0" fillId="7" borderId="0" xfId="0" applyFill="1" applyAlignment="1">
      <alignment horizontal="left"/>
    </xf>
    <xf numFmtId="0" fontId="0" fillId="0" borderId="0" xfId="0" applyFill="1" applyAlignment="1">
      <alignment horizontal="left"/>
    </xf>
    <xf numFmtId="14" fontId="0" fillId="7" borderId="0" xfId="0" applyNumberFormat="1" applyFill="1" applyAlignment="1">
      <alignment horizontal="left"/>
    </xf>
    <xf numFmtId="0" fontId="7" fillId="3" borderId="3" xfId="0" applyFont="1" applyFill="1" applyBorder="1" applyAlignment="1">
      <alignment horizontal="left"/>
    </xf>
    <xf numFmtId="0" fontId="7" fillId="3" borderId="2" xfId="0" applyFont="1" applyFill="1" applyBorder="1" applyAlignment="1">
      <alignment horizontal="left"/>
    </xf>
    <xf numFmtId="0" fontId="0" fillId="0" borderId="1" xfId="0" applyBorder="1" applyAlignment="1">
      <alignment horizontal="left"/>
    </xf>
    <xf numFmtId="0" fontId="0" fillId="4" borderId="1" xfId="0" applyFill="1" applyBorder="1" applyAlignment="1">
      <alignment horizontal="left"/>
    </xf>
    <xf numFmtId="0" fontId="0" fillId="0" borderId="17" xfId="0" applyBorder="1"/>
    <xf numFmtId="11" fontId="0" fillId="0" borderId="17" xfId="0" applyNumberFormat="1" applyBorder="1"/>
    <xf numFmtId="0" fontId="0" fillId="7" borderId="0" xfId="0" applyFill="1" applyBorder="1" applyAlignment="1">
      <alignment horizontal="left" indent="4"/>
    </xf>
    <xf numFmtId="11" fontId="0" fillId="0" borderId="17" xfId="0" applyNumberFormat="1" applyFill="1" applyBorder="1"/>
    <xf numFmtId="0" fontId="16" fillId="6" borderId="14" xfId="0" applyFont="1" applyFill="1" applyBorder="1"/>
    <xf numFmtId="0" fontId="16" fillId="11" borderId="9" xfId="0" applyFont="1" applyFill="1" applyBorder="1"/>
    <xf numFmtId="0" fontId="16" fillId="6" borderId="9" xfId="0" applyFont="1" applyFill="1" applyBorder="1"/>
    <xf numFmtId="0" fontId="0" fillId="2" borderId="8" xfId="0" applyFill="1" applyBorder="1" applyAlignment="1">
      <alignment horizontal="left"/>
    </xf>
    <xf numFmtId="0" fontId="0" fillId="2" borderId="0" xfId="0" applyFill="1" applyBorder="1" applyAlignment="1">
      <alignment horizontal="left"/>
    </xf>
    <xf numFmtId="0" fontId="0" fillId="2" borderId="9" xfId="0" applyFill="1" applyBorder="1" applyAlignment="1">
      <alignment horizontal="left"/>
    </xf>
    <xf numFmtId="0" fontId="0" fillId="2" borderId="5" xfId="0" applyFill="1" applyBorder="1" applyAlignment="1">
      <alignment horizontal="left"/>
    </xf>
    <xf numFmtId="0" fontId="0" fillId="9" borderId="8" xfId="0" applyFill="1" applyBorder="1" applyAlignment="1">
      <alignment horizontal="left"/>
    </xf>
    <xf numFmtId="0" fontId="0" fillId="9" borderId="0" xfId="0" applyFill="1" applyBorder="1" applyAlignment="1">
      <alignment horizontal="left"/>
    </xf>
    <xf numFmtId="0" fontId="0" fillId="9" borderId="9" xfId="0" applyFill="1" applyBorder="1" applyAlignment="1">
      <alignment horizontal="left"/>
    </xf>
    <xf numFmtId="0" fontId="0" fillId="9" borderId="5" xfId="0" applyFill="1" applyBorder="1" applyAlignment="1">
      <alignment horizontal="left"/>
    </xf>
    <xf numFmtId="0" fontId="0" fillId="16" borderId="0" xfId="0" applyFill="1"/>
    <xf numFmtId="0" fontId="0" fillId="17" borderId="0" xfId="0" applyFill="1"/>
    <xf numFmtId="0" fontId="4" fillId="18" borderId="0" xfId="0" applyFont="1" applyFill="1"/>
    <xf numFmtId="0" fontId="0" fillId="7" borderId="1" xfId="0" applyFill="1" applyBorder="1" applyAlignment="1">
      <alignment horizontal="left" vertical="top" wrapText="1"/>
    </xf>
    <xf numFmtId="0" fontId="4" fillId="18" borderId="14" xfId="0" applyFont="1" applyFill="1" applyBorder="1" applyAlignment="1">
      <alignment horizontal="left"/>
    </xf>
    <xf numFmtId="0" fontId="4" fillId="18" borderId="13" xfId="0" applyFont="1" applyFill="1" applyBorder="1" applyAlignment="1">
      <alignment horizontal="left"/>
    </xf>
    <xf numFmtId="0" fontId="4" fillId="18" borderId="15" xfId="0" applyFont="1" applyFill="1" applyBorder="1" applyAlignment="1">
      <alignment horizontal="left"/>
    </xf>
    <xf numFmtId="0" fontId="0" fillId="0" borderId="0" xfId="0" applyFill="1" applyBorder="1"/>
    <xf numFmtId="0" fontId="0" fillId="7" borderId="18" xfId="0" applyFill="1" applyBorder="1"/>
    <xf numFmtId="0" fontId="0" fillId="8" borderId="0" xfId="0" applyFill="1"/>
    <xf numFmtId="0" fontId="0" fillId="19" borderId="0" xfId="0" applyFill="1" applyAlignment="1">
      <alignment horizontal="left" vertical="top" wrapText="1"/>
    </xf>
    <xf numFmtId="0" fontId="7" fillId="8" borderId="0" xfId="0" applyFont="1" applyFill="1"/>
    <xf numFmtId="0" fontId="0" fillId="0" borderId="0" xfId="0" applyFill="1"/>
    <xf numFmtId="0" fontId="0" fillId="0" borderId="0" xfId="0" applyFill="1" applyAlignment="1">
      <alignment vertical="top" wrapText="1"/>
    </xf>
    <xf numFmtId="0" fontId="4" fillId="0" borderId="0" xfId="0" applyFont="1" applyFill="1" applyBorder="1" applyAlignment="1"/>
    <xf numFmtId="0" fontId="0" fillId="0" borderId="0" xfId="0" applyFill="1" applyBorder="1" applyAlignment="1">
      <alignment vertical="top"/>
    </xf>
    <xf numFmtId="0" fontId="0" fillId="2" borderId="8" xfId="0" applyFill="1" applyBorder="1" applyAlignment="1">
      <alignment horizontal="left"/>
    </xf>
    <xf numFmtId="0" fontId="0" fillId="2" borderId="0" xfId="0" applyFill="1" applyBorder="1" applyAlignment="1">
      <alignment horizontal="left"/>
    </xf>
    <xf numFmtId="0" fontId="0" fillId="2" borderId="9" xfId="0" applyFill="1" applyBorder="1" applyAlignment="1">
      <alignment horizontal="left"/>
    </xf>
    <xf numFmtId="0" fontId="0" fillId="2" borderId="5" xfId="0" applyFill="1" applyBorder="1" applyAlignment="1">
      <alignment horizontal="left"/>
    </xf>
    <xf numFmtId="0" fontId="0" fillId="9" borderId="8" xfId="0" applyFill="1" applyBorder="1" applyAlignment="1">
      <alignment horizontal="left"/>
    </xf>
    <xf numFmtId="0" fontId="0" fillId="9" borderId="0" xfId="0" applyFill="1" applyBorder="1" applyAlignment="1">
      <alignment horizontal="left"/>
    </xf>
    <xf numFmtId="0" fontId="0" fillId="0" borderId="1" xfId="0" applyFill="1" applyBorder="1"/>
    <xf numFmtId="11" fontId="0" fillId="7" borderId="0" xfId="0" applyNumberFormat="1" applyFill="1"/>
    <xf numFmtId="0" fontId="0" fillId="7" borderId="1" xfId="0" applyFill="1" applyBorder="1"/>
    <xf numFmtId="11" fontId="0" fillId="7" borderId="1" xfId="0" applyNumberFormat="1" applyFill="1" applyBorder="1"/>
    <xf numFmtId="0" fontId="12" fillId="15" borderId="19" xfId="0" applyFont="1" applyFill="1" applyBorder="1" applyAlignment="1"/>
    <xf numFmtId="0" fontId="0" fillId="0" borderId="2" xfId="0" applyBorder="1"/>
    <xf numFmtId="0" fontId="0" fillId="0" borderId="4" xfId="0" applyBorder="1"/>
    <xf numFmtId="0" fontId="4" fillId="14" borderId="1" xfId="0" applyFont="1" applyFill="1" applyBorder="1" applyAlignment="1">
      <alignment horizontal="left"/>
    </xf>
    <xf numFmtId="11" fontId="10" fillId="13" borderId="1" xfId="0" applyNumberFormat="1" applyFont="1" applyFill="1" applyBorder="1" applyAlignment="1">
      <alignment horizontal="center"/>
    </xf>
    <xf numFmtId="11" fontId="0" fillId="13" borderId="1" xfId="0" applyNumberFormat="1" applyFill="1" applyBorder="1" applyAlignment="1">
      <alignment horizontal="center"/>
    </xf>
    <xf numFmtId="0" fontId="0" fillId="17" borderId="1" xfId="0" applyFill="1" applyBorder="1"/>
    <xf numFmtId="0" fontId="16" fillId="0" borderId="0" xfId="0" applyFont="1"/>
    <xf numFmtId="11" fontId="4" fillId="0" borderId="0" xfId="0" applyNumberFormat="1" applyFont="1" applyFill="1" applyBorder="1"/>
    <xf numFmtId="0" fontId="17" fillId="13" borderId="0" xfId="0" applyFont="1" applyFill="1"/>
    <xf numFmtId="0" fontId="18" fillId="1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9525</xdr:colOff>
      <xdr:row>21</xdr:row>
      <xdr:rowOff>30459</xdr:rowOff>
    </xdr:from>
    <xdr:to>
      <xdr:col>4</xdr:col>
      <xdr:colOff>0</xdr:colOff>
      <xdr:row>26</xdr:row>
      <xdr:rowOff>20934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3348509" y="4049800"/>
          <a:ext cx="1079046" cy="93250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352425</xdr:colOff>
      <xdr:row>22</xdr:row>
      <xdr:rowOff>125710</xdr:rowOff>
    </xdr:from>
    <xdr:to>
      <xdr:col>3</xdr:col>
      <xdr:colOff>9525</xdr:colOff>
      <xdr:row>26</xdr:row>
      <xdr:rowOff>20934</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974815" y="4333457"/>
          <a:ext cx="1373694" cy="6488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256045</xdr:colOff>
      <xdr:row>21</xdr:row>
      <xdr:rowOff>29517</xdr:rowOff>
    </xdr:from>
    <xdr:ext cx="535659" cy="752475"/>
    <xdr:sp macro="" textlink="">
      <xdr:nvSpPr>
        <xdr:cNvPr id="5" name="Rectangle 4">
          <a:extLst>
            <a:ext uri="{FF2B5EF4-FFF2-40B4-BE49-F238E27FC236}">
              <a16:creationId xmlns:a16="http://schemas.microsoft.com/office/drawing/2014/main" id="{00000000-0008-0000-0000-000005000000}"/>
            </a:ext>
          </a:extLst>
        </xdr:cNvPr>
        <xdr:cNvSpPr/>
      </xdr:nvSpPr>
      <xdr:spPr>
        <a:xfrm>
          <a:off x="3595029" y="4080259"/>
          <a:ext cx="535659" cy="752475"/>
        </a:xfrm>
        <a:prstGeom prst="rect">
          <a:avLst/>
        </a:prstGeom>
        <a:noFill/>
      </xdr:spPr>
      <xdr:txBody>
        <a:bodyPr wrap="none" lIns="91440" tIns="45720" rIns="91440" bIns="45720">
          <a:no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1</a:t>
          </a:r>
        </a:p>
      </xdr:txBody>
    </xdr:sp>
    <xdr:clientData/>
  </xdr:oneCellAnchor>
  <xdr:oneCellAnchor>
    <xdr:from>
      <xdr:col>1</xdr:col>
      <xdr:colOff>732295</xdr:colOff>
      <xdr:row>21</xdr:row>
      <xdr:rowOff>172186</xdr:rowOff>
    </xdr:from>
    <xdr:ext cx="535660" cy="937629"/>
    <xdr:sp macro="" textlink="">
      <xdr:nvSpPr>
        <xdr:cNvPr id="6" name="Rectangle 5">
          <a:extLst>
            <a:ext uri="{FF2B5EF4-FFF2-40B4-BE49-F238E27FC236}">
              <a16:creationId xmlns:a16="http://schemas.microsoft.com/office/drawing/2014/main" id="{00000000-0008-0000-0000-000006000000}"/>
            </a:ext>
          </a:extLst>
        </xdr:cNvPr>
        <xdr:cNvSpPr/>
      </xdr:nvSpPr>
      <xdr:spPr>
        <a:xfrm>
          <a:off x="2354685" y="4222928"/>
          <a:ext cx="535660" cy="937629"/>
        </a:xfrm>
        <a:prstGeom prst="rect">
          <a:avLst/>
        </a:prstGeom>
        <a:noFill/>
      </xdr:spPr>
      <xdr:txBody>
        <a:bodyPr wrap="none" lIns="91440" tIns="45720" rIns="91440" bIns="45720">
          <a:sp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2</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9525</xdr:colOff>
      <xdr:row>21</xdr:row>
      <xdr:rowOff>30459</xdr:rowOff>
    </xdr:from>
    <xdr:to>
      <xdr:col>4</xdr:col>
      <xdr:colOff>0</xdr:colOff>
      <xdr:row>26</xdr:row>
      <xdr:rowOff>20934</xdr:rowOff>
    </xdr:to>
    <xdr:sp macro="" textlink="">
      <xdr:nvSpPr>
        <xdr:cNvPr id="2" name="Rectangle 1">
          <a:extLst>
            <a:ext uri="{FF2B5EF4-FFF2-40B4-BE49-F238E27FC236}">
              <a16:creationId xmlns:a16="http://schemas.microsoft.com/office/drawing/2014/main" id="{83787B07-BDAA-4FA0-A1F6-AE6C62FDE26D}"/>
            </a:ext>
          </a:extLst>
        </xdr:cNvPr>
        <xdr:cNvSpPr/>
      </xdr:nvSpPr>
      <xdr:spPr>
        <a:xfrm>
          <a:off x="2533650" y="4135734"/>
          <a:ext cx="1076325" cy="942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352425</xdr:colOff>
      <xdr:row>22</xdr:row>
      <xdr:rowOff>125710</xdr:rowOff>
    </xdr:from>
    <xdr:to>
      <xdr:col>3</xdr:col>
      <xdr:colOff>9525</xdr:colOff>
      <xdr:row>26</xdr:row>
      <xdr:rowOff>20934</xdr:rowOff>
    </xdr:to>
    <xdr:sp macro="" textlink="">
      <xdr:nvSpPr>
        <xdr:cNvPr id="3" name="Rectangle 2">
          <a:extLst>
            <a:ext uri="{FF2B5EF4-FFF2-40B4-BE49-F238E27FC236}">
              <a16:creationId xmlns:a16="http://schemas.microsoft.com/office/drawing/2014/main" id="{26AF6944-438A-4EF9-817C-433C624F1A81}"/>
            </a:ext>
          </a:extLst>
        </xdr:cNvPr>
        <xdr:cNvSpPr/>
      </xdr:nvSpPr>
      <xdr:spPr>
        <a:xfrm>
          <a:off x="1095375" y="4421485"/>
          <a:ext cx="1438275" cy="6572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256045</xdr:colOff>
      <xdr:row>21</xdr:row>
      <xdr:rowOff>29517</xdr:rowOff>
    </xdr:from>
    <xdr:ext cx="535659" cy="752475"/>
    <xdr:sp macro="" textlink="">
      <xdr:nvSpPr>
        <xdr:cNvPr id="4" name="Rectangle 3">
          <a:extLst>
            <a:ext uri="{FF2B5EF4-FFF2-40B4-BE49-F238E27FC236}">
              <a16:creationId xmlns:a16="http://schemas.microsoft.com/office/drawing/2014/main" id="{886C25DA-BBBB-4A07-AAD5-A6017FFB9BEC}"/>
            </a:ext>
          </a:extLst>
        </xdr:cNvPr>
        <xdr:cNvSpPr/>
      </xdr:nvSpPr>
      <xdr:spPr>
        <a:xfrm>
          <a:off x="2780170" y="4134792"/>
          <a:ext cx="535659" cy="752475"/>
        </a:xfrm>
        <a:prstGeom prst="rect">
          <a:avLst/>
        </a:prstGeom>
        <a:noFill/>
      </xdr:spPr>
      <xdr:txBody>
        <a:bodyPr wrap="none" lIns="91440" tIns="45720" rIns="91440" bIns="45720">
          <a:no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1</a:t>
          </a:r>
        </a:p>
      </xdr:txBody>
    </xdr:sp>
    <xdr:clientData/>
  </xdr:oneCellAnchor>
  <xdr:oneCellAnchor>
    <xdr:from>
      <xdr:col>1</xdr:col>
      <xdr:colOff>732295</xdr:colOff>
      <xdr:row>21</xdr:row>
      <xdr:rowOff>172186</xdr:rowOff>
    </xdr:from>
    <xdr:ext cx="535660" cy="937629"/>
    <xdr:sp macro="" textlink="">
      <xdr:nvSpPr>
        <xdr:cNvPr id="5" name="Rectangle 4">
          <a:extLst>
            <a:ext uri="{FF2B5EF4-FFF2-40B4-BE49-F238E27FC236}">
              <a16:creationId xmlns:a16="http://schemas.microsoft.com/office/drawing/2014/main" id="{F7AF0FEA-953C-42DA-A606-B41E16396EC8}"/>
            </a:ext>
          </a:extLst>
        </xdr:cNvPr>
        <xdr:cNvSpPr/>
      </xdr:nvSpPr>
      <xdr:spPr>
        <a:xfrm>
          <a:off x="1475245" y="4277461"/>
          <a:ext cx="535660" cy="937629"/>
        </a:xfrm>
        <a:prstGeom prst="rect">
          <a:avLst/>
        </a:prstGeom>
        <a:noFill/>
      </xdr:spPr>
      <xdr:txBody>
        <a:bodyPr wrap="none" lIns="91440" tIns="45720" rIns="91440" bIns="45720">
          <a:sp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2</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AEDF-CB0F-47DC-A0E5-3A22B6B40506}">
  <dimension ref="A1:S6"/>
  <sheetViews>
    <sheetView workbookViewId="0">
      <selection activeCell="C11" sqref="C11"/>
    </sheetView>
  </sheetViews>
  <sheetFormatPr defaultRowHeight="15" x14ac:dyDescent="0.25"/>
  <cols>
    <col min="1" max="1" width="9.140625" customWidth="1"/>
  </cols>
  <sheetData>
    <row r="1" spans="1:19" x14ac:dyDescent="0.25">
      <c r="A1" s="47" t="s">
        <v>14</v>
      </c>
      <c r="B1" s="47"/>
      <c r="C1" s="81"/>
      <c r="D1" s="81"/>
      <c r="E1" s="81"/>
      <c r="F1" s="81"/>
      <c r="G1" s="81"/>
      <c r="H1" s="81"/>
      <c r="I1" s="81"/>
      <c r="J1" s="81"/>
      <c r="K1" s="81"/>
      <c r="L1" s="81"/>
      <c r="M1" s="81"/>
      <c r="N1" s="81"/>
      <c r="O1" s="81"/>
      <c r="P1" s="81"/>
      <c r="Q1" s="81"/>
      <c r="R1" s="81"/>
      <c r="S1" s="81"/>
    </row>
    <row r="2" spans="1:19" x14ac:dyDescent="0.25">
      <c r="A2" s="48" t="s">
        <v>19</v>
      </c>
      <c r="B2" s="48"/>
      <c r="C2" s="82"/>
      <c r="D2" s="82"/>
      <c r="E2" s="82"/>
      <c r="F2" s="82"/>
      <c r="G2" s="82"/>
      <c r="H2" s="82"/>
      <c r="I2" s="82"/>
      <c r="J2" s="82"/>
      <c r="K2" s="82"/>
      <c r="L2" s="82"/>
      <c r="M2" s="82"/>
      <c r="N2" s="82"/>
      <c r="O2" s="82"/>
      <c r="P2" s="82"/>
      <c r="Q2" s="82"/>
      <c r="R2" s="82"/>
      <c r="S2" s="82"/>
    </row>
    <row r="3" spans="1:19" x14ac:dyDescent="0.25">
      <c r="A3" s="49">
        <v>43070</v>
      </c>
      <c r="B3" s="49"/>
    </row>
    <row r="5" spans="1:19" ht="15.75" x14ac:dyDescent="0.25">
      <c r="A5" s="80" t="s">
        <v>42</v>
      </c>
      <c r="B5" s="78"/>
      <c r="C5" s="78"/>
      <c r="D5" s="78"/>
      <c r="E5" s="78"/>
      <c r="F5" s="78"/>
      <c r="G5" s="78"/>
      <c r="H5" s="78"/>
      <c r="I5" s="78"/>
      <c r="J5" s="78"/>
      <c r="K5" s="78"/>
      <c r="L5" s="78"/>
      <c r="M5" s="78"/>
      <c r="N5" s="78"/>
      <c r="O5" s="78"/>
      <c r="P5" s="78"/>
      <c r="Q5" s="78"/>
      <c r="R5" s="78"/>
      <c r="S5" s="78"/>
    </row>
    <row r="6" spans="1:19" ht="98.25" customHeight="1" x14ac:dyDescent="0.25">
      <c r="A6" s="79" t="s">
        <v>53</v>
      </c>
      <c r="B6" s="79"/>
      <c r="C6" s="79"/>
      <c r="D6" s="79"/>
      <c r="E6" s="79"/>
      <c r="F6" s="79"/>
      <c r="G6" s="79"/>
      <c r="H6" s="79"/>
      <c r="I6" s="79"/>
      <c r="J6" s="79"/>
      <c r="K6" s="79"/>
      <c r="L6" s="79"/>
      <c r="M6" s="79"/>
      <c r="N6" s="79"/>
      <c r="O6" s="79"/>
      <c r="P6" s="79"/>
      <c r="Q6" s="79"/>
      <c r="R6" s="79"/>
      <c r="S6" s="79"/>
    </row>
  </sheetData>
  <mergeCells count="4">
    <mergeCell ref="A1:B1"/>
    <mergeCell ref="A2:B2"/>
    <mergeCell ref="A3:B3"/>
    <mergeCell ref="A6:S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zoomScale="91" zoomScaleNormal="91" workbookViewId="0">
      <selection activeCell="A50" sqref="A50:B50"/>
    </sheetView>
  </sheetViews>
  <sheetFormatPr defaultRowHeight="15" x14ac:dyDescent="0.25"/>
  <cols>
    <col min="1" max="1" width="11.140625" customWidth="1"/>
    <col min="2" max="2" width="16.7109375" customWidth="1"/>
    <col min="3" max="3" width="12.85546875" bestFit="1" customWidth="1"/>
    <col min="4" max="4" width="16.28515625" customWidth="1"/>
    <col min="5" max="5" width="15.7109375" bestFit="1" customWidth="1"/>
    <col min="6" max="6" width="12" bestFit="1" customWidth="1"/>
    <col min="7" max="8" width="16.42578125" bestFit="1" customWidth="1"/>
    <col min="9" max="9" width="13.85546875" bestFit="1" customWidth="1"/>
    <col min="10" max="10" width="16.7109375" customWidth="1"/>
    <col min="11" max="11" width="13.140625" bestFit="1" customWidth="1"/>
    <col min="12" max="12" width="16.42578125" bestFit="1" customWidth="1"/>
  </cols>
  <sheetData>
    <row r="1" spans="1:7" x14ac:dyDescent="0.25">
      <c r="A1" s="47" t="s">
        <v>14</v>
      </c>
      <c r="B1" s="47"/>
    </row>
    <row r="2" spans="1:7" x14ac:dyDescent="0.25">
      <c r="A2" s="48" t="s">
        <v>19</v>
      </c>
      <c r="B2" s="48"/>
    </row>
    <row r="3" spans="1:7" x14ac:dyDescent="0.25">
      <c r="A3" s="49">
        <v>43070</v>
      </c>
      <c r="B3" s="49"/>
    </row>
    <row r="5" spans="1:7" ht="15.75" x14ac:dyDescent="0.25">
      <c r="A5" s="50" t="s">
        <v>5</v>
      </c>
      <c r="B5" s="51"/>
      <c r="C5" s="21"/>
      <c r="E5" s="22" t="s">
        <v>9</v>
      </c>
      <c r="F5" s="21"/>
    </row>
    <row r="6" spans="1:7" ht="17.25" x14ac:dyDescent="0.25">
      <c r="A6" s="52" t="s">
        <v>6</v>
      </c>
      <c r="B6" s="52"/>
      <c r="C6" s="7">
        <v>8000</v>
      </c>
      <c r="E6" s="7" t="s">
        <v>10</v>
      </c>
      <c r="F6" s="7">
        <v>60</v>
      </c>
    </row>
    <row r="7" spans="1:7" x14ac:dyDescent="0.25">
      <c r="A7" s="53" t="s">
        <v>7</v>
      </c>
      <c r="B7" s="53"/>
      <c r="C7" s="38">
        <v>0.72</v>
      </c>
      <c r="E7" s="38" t="s">
        <v>11</v>
      </c>
      <c r="F7" s="38">
        <v>60</v>
      </c>
    </row>
    <row r="8" spans="1:7" x14ac:dyDescent="0.25">
      <c r="A8" s="39" t="s">
        <v>8</v>
      </c>
      <c r="B8" s="39"/>
      <c r="C8" s="7">
        <v>0.7</v>
      </c>
      <c r="E8" s="7" t="s">
        <v>12</v>
      </c>
      <c r="F8" s="7">
        <v>100</v>
      </c>
    </row>
    <row r="9" spans="1:7" x14ac:dyDescent="0.25">
      <c r="A9" s="53" t="s">
        <v>43</v>
      </c>
      <c r="B9" s="53"/>
      <c r="C9" s="40">
        <f>(C8*C7*F9)/(F8*F10*F11)</f>
        <v>1.7206451612903227E-5</v>
      </c>
      <c r="E9" s="38" t="s">
        <v>24</v>
      </c>
      <c r="F9" s="38">
        <v>2.54</v>
      </c>
    </row>
    <row r="10" spans="1:7" x14ac:dyDescent="0.25">
      <c r="A10" s="52" t="s">
        <v>49</v>
      </c>
      <c r="B10" s="52"/>
      <c r="C10" s="7">
        <v>1</v>
      </c>
      <c r="E10" s="7" t="s">
        <v>26</v>
      </c>
      <c r="F10" s="7">
        <v>31</v>
      </c>
    </row>
    <row r="11" spans="1:7" x14ac:dyDescent="0.25">
      <c r="E11" s="38" t="s">
        <v>25</v>
      </c>
      <c r="F11" s="38">
        <v>24</v>
      </c>
    </row>
    <row r="14" spans="1:7" ht="16.5" thickBot="1" x14ac:dyDescent="0.3">
      <c r="A14" s="25" t="s">
        <v>36</v>
      </c>
      <c r="B14" s="26"/>
      <c r="C14" s="26"/>
      <c r="D14" s="26"/>
      <c r="E14" s="26"/>
      <c r="F14" s="26"/>
      <c r="G14" s="27"/>
    </row>
    <row r="15" spans="1:7" ht="17.25" x14ac:dyDescent="0.25">
      <c r="A15" s="60" t="s">
        <v>47</v>
      </c>
      <c r="B15" s="23" t="s">
        <v>4</v>
      </c>
      <c r="C15" s="23" t="s">
        <v>0</v>
      </c>
      <c r="D15" s="23" t="s">
        <v>1</v>
      </c>
      <c r="E15" s="23" t="s">
        <v>2</v>
      </c>
      <c r="F15" s="23" t="s">
        <v>15</v>
      </c>
      <c r="G15" s="24" t="s">
        <v>3</v>
      </c>
    </row>
    <row r="16" spans="1:7" x14ac:dyDescent="0.25">
      <c r="A16" s="54">
        <v>1</v>
      </c>
      <c r="B16" s="55">
        <f>((3.5+2.9+2)/3)/$F$8</f>
        <v>2.8000000000000004E-2</v>
      </c>
      <c r="C16" s="55">
        <f>47/$F$8</f>
        <v>0.47</v>
      </c>
      <c r="D16" s="55">
        <f>53/$F$8</f>
        <v>0.53</v>
      </c>
      <c r="E16" s="55">
        <f>B16*C16*D16</f>
        <v>6.9748000000000015E-3</v>
      </c>
      <c r="F16" s="55">
        <f>8.53/$F$6/$F$7</f>
        <v>2.3694444444444444E-3</v>
      </c>
      <c r="G16" s="55">
        <f>(E16/F16)</f>
        <v>2.9436436107854638</v>
      </c>
    </row>
    <row r="17" spans="1:12" x14ac:dyDescent="0.25">
      <c r="A17" s="42">
        <v>2</v>
      </c>
      <c r="B17" s="43">
        <f>((3.5+2.9+2)/3)/$F$8</f>
        <v>2.8000000000000004E-2</v>
      </c>
      <c r="C17" s="43">
        <f>47/$F$8</f>
        <v>0.47</v>
      </c>
      <c r="D17" s="43">
        <f>53/$F$8</f>
        <v>0.53</v>
      </c>
      <c r="E17" s="43">
        <f t="shared" ref="E17:E18" si="0">B17*C17*D17</f>
        <v>6.9748000000000015E-3</v>
      </c>
      <c r="F17" s="43">
        <f>11.16/$F$6/$F$7</f>
        <v>3.0999999999999999E-3</v>
      </c>
      <c r="G17" s="43">
        <f>(E17/F17)</f>
        <v>2.2499354838709684</v>
      </c>
    </row>
    <row r="18" spans="1:12" x14ac:dyDescent="0.25">
      <c r="A18" s="7">
        <v>3</v>
      </c>
      <c r="B18" s="41">
        <f>((3.5+2.9+2)/3)/$F$8</f>
        <v>2.8000000000000004E-2</v>
      </c>
      <c r="C18" s="41">
        <f>47/$F$8</f>
        <v>0.47</v>
      </c>
      <c r="D18" s="41">
        <f>53/$F$8</f>
        <v>0.53</v>
      </c>
      <c r="E18" s="41">
        <f t="shared" si="0"/>
        <v>6.9748000000000015E-3</v>
      </c>
      <c r="F18" s="41">
        <f>5.96/$F$6/$F$7</f>
        <v>1.6555555555555555E-3</v>
      </c>
      <c r="G18" s="41">
        <f>(E18/F18)</f>
        <v>4.2129664429530207</v>
      </c>
    </row>
    <row r="19" spans="1:12" x14ac:dyDescent="0.25">
      <c r="B19" s="1"/>
      <c r="C19" s="1"/>
      <c r="D19" s="1"/>
      <c r="E19" s="1"/>
      <c r="F19" s="18" t="s">
        <v>18</v>
      </c>
      <c r="G19" s="12">
        <f>(G16+G17+G18)/3</f>
        <v>3.1355151792031513</v>
      </c>
    </row>
    <row r="21" spans="1:12" ht="16.5" thickBot="1" x14ac:dyDescent="0.3">
      <c r="A21" s="25" t="s">
        <v>37</v>
      </c>
      <c r="B21" s="26"/>
      <c r="C21" s="26"/>
      <c r="D21" s="26"/>
      <c r="E21" s="26"/>
      <c r="F21" s="26"/>
      <c r="G21" s="26"/>
      <c r="H21" s="27"/>
      <c r="I21" s="76"/>
      <c r="J21" s="76"/>
      <c r="K21" s="76"/>
      <c r="L21" s="76"/>
    </row>
    <row r="22" spans="1:12" x14ac:dyDescent="0.25">
      <c r="A22" s="14"/>
      <c r="B22" s="15"/>
      <c r="C22" s="15"/>
      <c r="D22" s="15"/>
      <c r="E22" s="15"/>
      <c r="F22" s="15"/>
      <c r="G22" s="15"/>
      <c r="H22" s="77"/>
      <c r="I22" s="76"/>
      <c r="J22" s="76"/>
      <c r="K22" s="76"/>
      <c r="L22" s="76"/>
    </row>
    <row r="23" spans="1:12" x14ac:dyDescent="0.25">
      <c r="A23" s="14"/>
      <c r="B23" s="15"/>
      <c r="C23" s="15"/>
      <c r="D23" s="15"/>
      <c r="E23" s="15"/>
      <c r="F23" s="15"/>
      <c r="G23" s="15"/>
      <c r="H23" s="16"/>
      <c r="I23" s="76"/>
      <c r="J23" s="76"/>
      <c r="K23" s="76"/>
      <c r="L23" s="76"/>
    </row>
    <row r="24" spans="1:12" x14ac:dyDescent="0.25">
      <c r="A24" s="14"/>
      <c r="B24" s="15"/>
      <c r="C24" s="15"/>
      <c r="D24" s="15"/>
      <c r="E24" s="15"/>
      <c r="F24" s="15"/>
      <c r="G24" s="15"/>
      <c r="H24" s="16"/>
      <c r="I24" s="76"/>
      <c r="J24" s="76"/>
      <c r="K24" s="76"/>
      <c r="L24" s="76"/>
    </row>
    <row r="25" spans="1:12" x14ac:dyDescent="0.25">
      <c r="A25" s="14"/>
      <c r="B25" s="15"/>
      <c r="C25" s="15"/>
      <c r="D25" s="15"/>
      <c r="E25" s="15"/>
      <c r="F25" s="15"/>
      <c r="G25" s="15"/>
      <c r="H25" s="16"/>
      <c r="I25" s="76"/>
      <c r="J25" s="76"/>
      <c r="K25" s="76"/>
      <c r="L25" s="76"/>
    </row>
    <row r="26" spans="1:12" x14ac:dyDescent="0.25">
      <c r="A26" s="14"/>
      <c r="B26" s="15"/>
      <c r="C26" s="15"/>
      <c r="D26" s="15"/>
      <c r="E26" s="15"/>
      <c r="F26" s="15"/>
      <c r="G26" s="15"/>
      <c r="H26" s="16"/>
      <c r="I26" s="76"/>
      <c r="J26" s="76"/>
      <c r="K26" s="76"/>
      <c r="L26" s="76"/>
    </row>
    <row r="27" spans="1:12" x14ac:dyDescent="0.25">
      <c r="A27" s="14"/>
      <c r="B27" s="56" t="s">
        <v>39</v>
      </c>
      <c r="C27" s="15"/>
      <c r="D27" s="15"/>
      <c r="E27" s="15"/>
      <c r="F27" s="15"/>
      <c r="G27" s="15"/>
      <c r="H27" s="17"/>
      <c r="I27" s="76"/>
      <c r="J27" s="76"/>
      <c r="K27" s="76"/>
      <c r="L27" s="76"/>
    </row>
    <row r="28" spans="1:12" ht="18.75" x14ac:dyDescent="0.35">
      <c r="A28" s="58" t="s">
        <v>47</v>
      </c>
      <c r="B28" s="13" t="s">
        <v>27</v>
      </c>
      <c r="C28" s="13" t="s">
        <v>29</v>
      </c>
      <c r="D28" s="13" t="s">
        <v>28</v>
      </c>
      <c r="E28" s="13" t="s">
        <v>30</v>
      </c>
      <c r="F28" s="13" t="s">
        <v>31</v>
      </c>
      <c r="G28" s="13" t="s">
        <v>32</v>
      </c>
      <c r="H28" s="13" t="s">
        <v>33</v>
      </c>
      <c r="I28" s="23" t="s">
        <v>34</v>
      </c>
      <c r="J28" s="23" t="s">
        <v>20</v>
      </c>
      <c r="K28" s="23" t="s">
        <v>15</v>
      </c>
      <c r="L28" s="24" t="s">
        <v>3</v>
      </c>
    </row>
    <row r="29" spans="1:12" x14ac:dyDescent="0.25">
      <c r="A29" s="54">
        <v>1</v>
      </c>
      <c r="B29" s="55">
        <f>6.65/$F$8</f>
        <v>6.6500000000000004E-2</v>
      </c>
      <c r="C29" s="57">
        <f>80/$F$8</f>
        <v>0.8</v>
      </c>
      <c r="D29" s="55">
        <f>56/$F$8</f>
        <v>0.56000000000000005</v>
      </c>
      <c r="E29" s="55">
        <f>$B$29*$C$29*$D$29</f>
        <v>2.9792000000000006E-2</v>
      </c>
      <c r="F29" s="55">
        <f>3.35/$F$8</f>
        <v>3.3500000000000002E-2</v>
      </c>
      <c r="G29" s="55">
        <f>55/$F$8</f>
        <v>0.55000000000000004</v>
      </c>
      <c r="H29" s="55">
        <f>79/$F$8</f>
        <v>0.79</v>
      </c>
      <c r="I29" s="55">
        <f>($F$29*$G$29*$H$29)</f>
        <v>1.4555750000000004E-2</v>
      </c>
      <c r="J29" s="55">
        <f>(E29+I29)/2</f>
        <v>2.2173875000000006E-2</v>
      </c>
      <c r="K29" s="55">
        <f>(7.25/$F$6)/$F$7</f>
        <v>2.0138888888888888E-3</v>
      </c>
      <c r="L29" s="55">
        <f>J29/K29</f>
        <v>11.010475862068969</v>
      </c>
    </row>
    <row r="30" spans="1:12" x14ac:dyDescent="0.25">
      <c r="A30" s="42">
        <v>2</v>
      </c>
      <c r="B30" s="43">
        <f>6.65/$F$8</f>
        <v>6.6500000000000004E-2</v>
      </c>
      <c r="C30" s="43">
        <f>80/$F$8</f>
        <v>0.8</v>
      </c>
      <c r="D30" s="43">
        <f>56/$F$8</f>
        <v>0.56000000000000005</v>
      </c>
      <c r="E30" s="43">
        <f>$B$29*$C$29*$D$29</f>
        <v>2.9792000000000006E-2</v>
      </c>
      <c r="F30" s="43">
        <f>3.35/$F$8</f>
        <v>3.3500000000000002E-2</v>
      </c>
      <c r="G30" s="43">
        <f>55/$F$8</f>
        <v>0.55000000000000004</v>
      </c>
      <c r="H30" s="43">
        <f>79/$F$8</f>
        <v>0.79</v>
      </c>
      <c r="I30" s="43">
        <f>($F$29*$G$29*$H$29)</f>
        <v>1.4555750000000004E-2</v>
      </c>
      <c r="J30" s="43">
        <f t="shared" ref="J30:J31" si="1">(E30+I30)/2</f>
        <v>2.2173875000000006E-2</v>
      </c>
      <c r="K30" s="43">
        <f>(9.53/$F$6)/$F$7</f>
        <v>2.6472222222222223E-3</v>
      </c>
      <c r="L30" s="43">
        <f t="shared" ref="L30:L31" si="2">J30/K30</f>
        <v>8.3762801678908723</v>
      </c>
    </row>
    <row r="31" spans="1:12" x14ac:dyDescent="0.25">
      <c r="A31" s="7">
        <v>3</v>
      </c>
      <c r="B31" s="41">
        <f>6.65/$F$8</f>
        <v>6.6500000000000004E-2</v>
      </c>
      <c r="C31" s="44">
        <f>80/$F$8</f>
        <v>0.8</v>
      </c>
      <c r="D31" s="41">
        <f>56/$F$8</f>
        <v>0.56000000000000005</v>
      </c>
      <c r="E31" s="41">
        <f>$B$29*$C$29*$D$29</f>
        <v>2.9792000000000006E-2</v>
      </c>
      <c r="F31" s="41">
        <f>3.35/$F$8</f>
        <v>3.3500000000000002E-2</v>
      </c>
      <c r="G31" s="41">
        <f>55/$F$8</f>
        <v>0.55000000000000004</v>
      </c>
      <c r="H31" s="41">
        <f>79/$F$8</f>
        <v>0.79</v>
      </c>
      <c r="I31" s="41">
        <f>($F$29*$G$29*$H$29)</f>
        <v>1.4555750000000004E-2</v>
      </c>
      <c r="J31" s="41">
        <f t="shared" si="1"/>
        <v>2.2173875000000006E-2</v>
      </c>
      <c r="K31" s="41">
        <f>(8.96/$F$6)/$F$7</f>
        <v>2.488888888888889E-3</v>
      </c>
      <c r="L31" s="41">
        <f t="shared" si="2"/>
        <v>8.9091462053571444</v>
      </c>
    </row>
    <row r="32" spans="1:12" x14ac:dyDescent="0.25">
      <c r="K32" s="11" t="s">
        <v>18</v>
      </c>
      <c r="L32" s="12">
        <f>(L29+L30+L31)/3</f>
        <v>9.4319674117723284</v>
      </c>
    </row>
    <row r="34" spans="1:8" ht="16.5" thickBot="1" x14ac:dyDescent="0.3">
      <c r="A34" s="30" t="s">
        <v>38</v>
      </c>
      <c r="B34" s="31"/>
      <c r="C34" s="31"/>
      <c r="D34" s="31"/>
      <c r="E34" s="31"/>
      <c r="F34" s="31"/>
      <c r="G34" s="31"/>
      <c r="H34" s="32"/>
    </row>
    <row r="35" spans="1:8" ht="17.25" x14ac:dyDescent="0.25">
      <c r="A35" s="59" t="s">
        <v>48</v>
      </c>
      <c r="B35" s="28" t="s">
        <v>4</v>
      </c>
      <c r="C35" s="28" t="s">
        <v>16</v>
      </c>
      <c r="D35" s="28" t="s">
        <v>13</v>
      </c>
      <c r="E35" s="28" t="s">
        <v>2</v>
      </c>
      <c r="F35" s="28" t="s">
        <v>44</v>
      </c>
      <c r="G35" s="28" t="s">
        <v>15</v>
      </c>
      <c r="H35" s="29" t="s">
        <v>3</v>
      </c>
    </row>
    <row r="36" spans="1:8" x14ac:dyDescent="0.25">
      <c r="A36" s="54">
        <v>1</v>
      </c>
      <c r="B36" s="55">
        <f>9.5/F8</f>
        <v>9.5000000000000001E-2</v>
      </c>
      <c r="C36" s="55">
        <f>28.6/$F$8</f>
        <v>0.28600000000000003</v>
      </c>
      <c r="D36" s="55">
        <f>((3.14159)*((C36/2)^2))</f>
        <v>6.4242373910000011E-2</v>
      </c>
      <c r="E36" s="55">
        <f>D36*B36</f>
        <v>6.103025521450001E-3</v>
      </c>
      <c r="F36" s="54">
        <v>16.16</v>
      </c>
      <c r="G36" s="55">
        <f>F36/$F$7/$F$6</f>
        <v>4.4888888888888886E-3</v>
      </c>
      <c r="H36" s="55">
        <f>E36/G36</f>
        <v>1.3595848933923271</v>
      </c>
    </row>
    <row r="37" spans="1:8" x14ac:dyDescent="0.25">
      <c r="A37" s="45">
        <v>2</v>
      </c>
      <c r="B37" s="46">
        <f>11/F8</f>
        <v>0.11</v>
      </c>
      <c r="C37" s="46">
        <f>28.6/$F$8</f>
        <v>0.28600000000000003</v>
      </c>
      <c r="D37" s="46">
        <f>((3.14159)*((C37/2)^2))</f>
        <v>6.4242373910000011E-2</v>
      </c>
      <c r="E37" s="46">
        <f>D37*B37</f>
        <v>7.0666611301000012E-3</v>
      </c>
      <c r="F37" s="45">
        <v>14.75</v>
      </c>
      <c r="G37" s="46">
        <f>F37/$F$7/$F$6</f>
        <v>4.0972222222222217E-3</v>
      </c>
      <c r="H37" s="46">
        <f>E37/G37</f>
        <v>1.7247444114142378</v>
      </c>
    </row>
    <row r="38" spans="1:8" x14ac:dyDescent="0.25">
      <c r="A38" s="7">
        <v>3</v>
      </c>
      <c r="B38" s="41">
        <f>11.8/F8</f>
        <v>0.11800000000000001</v>
      </c>
      <c r="C38" s="41">
        <f>28.6/$F$8</f>
        <v>0.28600000000000003</v>
      </c>
      <c r="D38" s="41">
        <f>((3.14159)*((C38/2)^2))</f>
        <v>6.4242373910000011E-2</v>
      </c>
      <c r="E38" s="41">
        <f>D38*B38</f>
        <v>7.5806001213800022E-3</v>
      </c>
      <c r="F38" s="7">
        <v>14.35</v>
      </c>
      <c r="G38" s="41">
        <f>F38/$F$7/$F$6</f>
        <v>3.9861111111111113E-3</v>
      </c>
      <c r="H38" s="41">
        <f>E38/G38</f>
        <v>1.9017533405552618</v>
      </c>
    </row>
    <row r="39" spans="1:8" x14ac:dyDescent="0.25">
      <c r="B39" s="1"/>
      <c r="C39" s="1"/>
      <c r="D39" s="1"/>
      <c r="E39" s="1"/>
      <c r="G39" s="19" t="s">
        <v>17</v>
      </c>
      <c r="H39" s="20">
        <f>(H36+H37+H38)/3</f>
        <v>1.6620275484539422</v>
      </c>
    </row>
    <row r="42" spans="1:8" ht="16.5" thickBot="1" x14ac:dyDescent="0.3">
      <c r="A42" s="5" t="s">
        <v>40</v>
      </c>
      <c r="B42" s="8"/>
      <c r="C42" s="6"/>
    </row>
    <row r="43" spans="1:8" ht="17.25" x14ac:dyDescent="0.25">
      <c r="A43" s="61" t="s">
        <v>23</v>
      </c>
      <c r="B43" s="62"/>
      <c r="C43" s="2">
        <f>$G$19</f>
        <v>3.1355151792031513</v>
      </c>
    </row>
    <row r="44" spans="1:8" x14ac:dyDescent="0.25">
      <c r="A44" s="63" t="s">
        <v>22</v>
      </c>
      <c r="B44" s="64"/>
      <c r="C44" s="10">
        <f>$L$32</f>
        <v>9.4319674117723284</v>
      </c>
    </row>
    <row r="45" spans="1:8" ht="17.25" x14ac:dyDescent="0.25">
      <c r="A45" s="65" t="s">
        <v>21</v>
      </c>
      <c r="B45" s="66"/>
      <c r="C45" s="3">
        <f>$H$39</f>
        <v>1.6620275484539422</v>
      </c>
    </row>
    <row r="46" spans="1:8" ht="17.25" x14ac:dyDescent="0.25">
      <c r="A46" s="67" t="s">
        <v>35</v>
      </c>
      <c r="B46" s="68"/>
      <c r="C46" s="4">
        <f>$C$9*$C$6</f>
        <v>0.13765161290322581</v>
      </c>
    </row>
    <row r="47" spans="1:8" x14ac:dyDescent="0.25">
      <c r="C47" s="1"/>
    </row>
    <row r="48" spans="1:8" ht="15.75" x14ac:dyDescent="0.25">
      <c r="A48" s="95" t="s">
        <v>46</v>
      </c>
      <c r="B48" s="96"/>
      <c r="C48" s="95"/>
      <c r="D48" s="97"/>
    </row>
    <row r="49" spans="1:8" ht="17.25" x14ac:dyDescent="0.25">
      <c r="A49" s="98" t="s">
        <v>70</v>
      </c>
      <c r="B49" s="98"/>
      <c r="C49" s="99">
        <f>(($C$43+$C$44)-($C$45+$C$46))</f>
        <v>10.767803429618311</v>
      </c>
      <c r="D49" s="99"/>
    </row>
    <row r="50" spans="1:8" x14ac:dyDescent="0.25">
      <c r="A50" s="98" t="s">
        <v>52</v>
      </c>
      <c r="B50" s="98"/>
      <c r="C50" s="100">
        <f>($C$49/$C$6)*$F$8</f>
        <v>0.13459754287022888</v>
      </c>
      <c r="D50" s="100"/>
    </row>
    <row r="52" spans="1:8" ht="17.25" customHeight="1" x14ac:dyDescent="0.25">
      <c r="A52" s="73" t="s">
        <v>45</v>
      </c>
      <c r="B52" s="74"/>
      <c r="C52" s="74"/>
      <c r="D52" s="74"/>
      <c r="E52" s="74"/>
      <c r="F52" s="74"/>
      <c r="G52" s="74"/>
      <c r="H52" s="75"/>
    </row>
    <row r="53" spans="1:8" ht="18.75" customHeight="1" x14ac:dyDescent="0.25">
      <c r="A53" s="72" t="s">
        <v>50</v>
      </c>
      <c r="B53" s="72"/>
      <c r="C53" s="72"/>
      <c r="D53" s="72"/>
      <c r="E53" s="72"/>
      <c r="F53" s="72"/>
      <c r="G53" s="72"/>
      <c r="H53" s="72"/>
    </row>
    <row r="54" spans="1:8" x14ac:dyDescent="0.25">
      <c r="A54" s="72"/>
      <c r="B54" s="72"/>
      <c r="C54" s="72"/>
      <c r="D54" s="72"/>
      <c r="E54" s="72"/>
      <c r="F54" s="72"/>
      <c r="G54" s="72"/>
      <c r="H54" s="72"/>
    </row>
    <row r="55" spans="1:8" x14ac:dyDescent="0.25">
      <c r="A55" s="72"/>
      <c r="B55" s="72"/>
      <c r="C55" s="72"/>
      <c r="D55" s="72"/>
      <c r="E55" s="72"/>
      <c r="F55" s="72"/>
      <c r="G55" s="72"/>
      <c r="H55" s="72"/>
    </row>
    <row r="56" spans="1:8" x14ac:dyDescent="0.25">
      <c r="A56" s="72"/>
      <c r="B56" s="72"/>
      <c r="C56" s="72"/>
      <c r="D56" s="72"/>
      <c r="E56" s="72"/>
      <c r="F56" s="72"/>
      <c r="G56" s="72"/>
      <c r="H56" s="72"/>
    </row>
  </sheetData>
  <mergeCells count="18">
    <mergeCell ref="A50:B50"/>
    <mergeCell ref="C50:D50"/>
    <mergeCell ref="A52:H52"/>
    <mergeCell ref="A53:H56"/>
    <mergeCell ref="A49:B49"/>
    <mergeCell ref="C49:D49"/>
    <mergeCell ref="A1:B1"/>
    <mergeCell ref="A2:B2"/>
    <mergeCell ref="A3:B3"/>
    <mergeCell ref="A5:B5"/>
    <mergeCell ref="A6:B6"/>
    <mergeCell ref="A7:B7"/>
    <mergeCell ref="A9:B9"/>
    <mergeCell ref="A43:B43"/>
    <mergeCell ref="A44:B44"/>
    <mergeCell ref="A45:B45"/>
    <mergeCell ref="A46:B46"/>
    <mergeCell ref="A10:B10"/>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324C-519C-489D-BCD5-CCF364A131DD}">
  <dimension ref="A1:L115"/>
  <sheetViews>
    <sheetView topLeftCell="A22" zoomScale="91" zoomScaleNormal="91" workbookViewId="0">
      <selection activeCell="B39" sqref="B39"/>
    </sheetView>
  </sheetViews>
  <sheetFormatPr defaultRowHeight="15" x14ac:dyDescent="0.25"/>
  <cols>
    <col min="1" max="1" width="13" customWidth="1"/>
    <col min="2" max="2" width="16" customWidth="1"/>
    <col min="3" max="3" width="12.85546875" bestFit="1" customWidth="1"/>
    <col min="4" max="4" width="16.28515625" customWidth="1"/>
    <col min="5" max="5" width="15.7109375" bestFit="1" customWidth="1"/>
    <col min="6" max="6" width="12" bestFit="1" customWidth="1"/>
    <col min="7" max="8" width="16.42578125" bestFit="1" customWidth="1"/>
    <col min="9" max="9" width="13.85546875" bestFit="1" customWidth="1"/>
    <col min="10" max="10" width="16.7109375" customWidth="1"/>
    <col min="11" max="11" width="13.140625" bestFit="1" customWidth="1"/>
    <col min="12" max="12" width="16.42578125" bestFit="1" customWidth="1"/>
  </cols>
  <sheetData>
    <row r="1" spans="1:9" x14ac:dyDescent="0.25">
      <c r="A1" s="47" t="s">
        <v>14</v>
      </c>
      <c r="B1" s="47"/>
    </row>
    <row r="2" spans="1:9" x14ac:dyDescent="0.25">
      <c r="A2" s="48" t="s">
        <v>19</v>
      </c>
      <c r="B2" s="48"/>
    </row>
    <row r="3" spans="1:9" x14ac:dyDescent="0.25">
      <c r="A3" s="49">
        <v>43070</v>
      </c>
      <c r="B3" s="49"/>
    </row>
    <row r="5" spans="1:9" ht="15.75" x14ac:dyDescent="0.25">
      <c r="A5" s="50" t="s">
        <v>5</v>
      </c>
      <c r="B5" s="51"/>
      <c r="C5" s="21"/>
      <c r="E5" s="22" t="s">
        <v>9</v>
      </c>
      <c r="F5" s="21"/>
    </row>
    <row r="6" spans="1:9" ht="17.25" x14ac:dyDescent="0.25">
      <c r="A6" s="52" t="s">
        <v>6</v>
      </c>
      <c r="B6" s="52"/>
      <c r="C6" s="7">
        <v>8000</v>
      </c>
      <c r="E6" s="7" t="s">
        <v>10</v>
      </c>
      <c r="F6" s="7">
        <v>60</v>
      </c>
    </row>
    <row r="7" spans="1:9" x14ac:dyDescent="0.25">
      <c r="A7" s="53" t="s">
        <v>7</v>
      </c>
      <c r="B7" s="53"/>
      <c r="C7" s="38">
        <v>0.72</v>
      </c>
      <c r="E7" s="38" t="s">
        <v>11</v>
      </c>
      <c r="F7" s="38">
        <v>60</v>
      </c>
    </row>
    <row r="8" spans="1:9" x14ac:dyDescent="0.25">
      <c r="A8" s="39" t="s">
        <v>8</v>
      </c>
      <c r="B8" s="39"/>
      <c r="C8" s="7">
        <v>0.7</v>
      </c>
      <c r="E8" s="7" t="s">
        <v>12</v>
      </c>
      <c r="F8" s="7">
        <v>100</v>
      </c>
    </row>
    <row r="9" spans="1:9" x14ac:dyDescent="0.25">
      <c r="A9" s="53" t="s">
        <v>43</v>
      </c>
      <c r="B9" s="53"/>
      <c r="C9" s="40">
        <f>(C8*C7*F9)/(F8*F10*F11)</f>
        <v>1.7206451612903227E-5</v>
      </c>
      <c r="E9" s="38" t="s">
        <v>24</v>
      </c>
      <c r="F9" s="38">
        <v>2.54</v>
      </c>
    </row>
    <row r="10" spans="1:9" x14ac:dyDescent="0.25">
      <c r="A10" s="52" t="s">
        <v>49</v>
      </c>
      <c r="B10" s="52"/>
      <c r="C10" s="7">
        <v>1</v>
      </c>
      <c r="E10" s="7" t="s">
        <v>26</v>
      </c>
      <c r="F10" s="7">
        <v>31</v>
      </c>
    </row>
    <row r="11" spans="1:9" x14ac:dyDescent="0.25">
      <c r="A11" s="53" t="s">
        <v>54</v>
      </c>
      <c r="B11" s="53"/>
      <c r="C11" s="38">
        <v>1.1000000000000001</v>
      </c>
      <c r="E11" s="38" t="s">
        <v>25</v>
      </c>
      <c r="F11" s="38">
        <v>24</v>
      </c>
    </row>
    <row r="12" spans="1:9" x14ac:dyDescent="0.25">
      <c r="A12" s="52" t="s">
        <v>56</v>
      </c>
      <c r="B12" s="52"/>
      <c r="C12" s="91">
        <v>0.9</v>
      </c>
    </row>
    <row r="14" spans="1:9" ht="16.5" thickBot="1" x14ac:dyDescent="0.3">
      <c r="A14" s="25" t="s">
        <v>36</v>
      </c>
      <c r="B14" s="26"/>
      <c r="C14" s="26"/>
      <c r="D14" s="26"/>
      <c r="E14" s="26"/>
      <c r="F14" s="26"/>
      <c r="G14" s="27"/>
      <c r="I14">
        <v>1.1000000000000001</v>
      </c>
    </row>
    <row r="15" spans="1:9" ht="17.25" x14ac:dyDescent="0.25">
      <c r="A15" s="60" t="s">
        <v>47</v>
      </c>
      <c r="B15" s="23" t="s">
        <v>4</v>
      </c>
      <c r="C15" s="23" t="s">
        <v>0</v>
      </c>
      <c r="D15" s="23" t="s">
        <v>1</v>
      </c>
      <c r="E15" s="23" t="s">
        <v>2</v>
      </c>
      <c r="F15" s="23" t="s">
        <v>15</v>
      </c>
      <c r="G15" s="24" t="s">
        <v>3</v>
      </c>
    </row>
    <row r="16" spans="1:9" x14ac:dyDescent="0.25">
      <c r="A16" s="54">
        <v>1</v>
      </c>
      <c r="B16" s="55">
        <f>((3.5+2.9+2)/3)/$F$8</f>
        <v>2.8000000000000004E-2</v>
      </c>
      <c r="C16" s="55">
        <f>47/$F$8</f>
        <v>0.47</v>
      </c>
      <c r="D16" s="55">
        <f>53/$F$8</f>
        <v>0.53</v>
      </c>
      <c r="E16" s="55">
        <f>B16*C16*D16</f>
        <v>6.9748000000000015E-3</v>
      </c>
      <c r="F16" s="55">
        <f>8.53/$F$6/$F$7</f>
        <v>2.3694444444444444E-3</v>
      </c>
      <c r="G16" s="55">
        <f>(E16/F16)</f>
        <v>2.9436436107854638</v>
      </c>
      <c r="I16" s="1">
        <f>B16*I14</f>
        <v>3.0800000000000008E-2</v>
      </c>
    </row>
    <row r="17" spans="1:12" x14ac:dyDescent="0.25">
      <c r="A17" s="42">
        <v>2</v>
      </c>
      <c r="B17" s="43">
        <f>((3.5+2.9+2)/3)/$F$8</f>
        <v>2.8000000000000004E-2</v>
      </c>
      <c r="C17" s="43">
        <f>47/$F$8</f>
        <v>0.47</v>
      </c>
      <c r="D17" s="43">
        <f>53/$F$8</f>
        <v>0.53</v>
      </c>
      <c r="E17" s="43">
        <f t="shared" ref="E17:E18" si="0">B17*C17*D17</f>
        <v>6.9748000000000015E-3</v>
      </c>
      <c r="F17" s="43">
        <f>11.16/$F$6/$F$7</f>
        <v>3.0999999999999999E-3</v>
      </c>
      <c r="G17" s="43">
        <f>(E17/F17)</f>
        <v>2.2499354838709684</v>
      </c>
      <c r="I17" s="1">
        <f>C16*I14</f>
        <v>0.51700000000000002</v>
      </c>
    </row>
    <row r="18" spans="1:12" x14ac:dyDescent="0.25">
      <c r="A18" s="7">
        <v>3</v>
      </c>
      <c r="B18" s="41">
        <f>((3.5+2.9+2)/3)/$F$8</f>
        <v>2.8000000000000004E-2</v>
      </c>
      <c r="C18" s="41">
        <f>47/$F$8</f>
        <v>0.47</v>
      </c>
      <c r="D18" s="41">
        <f>53/$F$8</f>
        <v>0.53</v>
      </c>
      <c r="E18" s="41">
        <f t="shared" si="0"/>
        <v>6.9748000000000015E-3</v>
      </c>
      <c r="F18" s="41">
        <f>5.96/$F$6/$F$7</f>
        <v>1.6555555555555555E-3</v>
      </c>
      <c r="G18" s="41">
        <f>(E18/F18)</f>
        <v>4.2129664429530207</v>
      </c>
      <c r="I18" s="1">
        <f>D16*I14</f>
        <v>0.58300000000000007</v>
      </c>
    </row>
    <row r="19" spans="1:12" x14ac:dyDescent="0.25">
      <c r="B19" s="1"/>
      <c r="C19" s="1"/>
      <c r="D19" s="1"/>
      <c r="E19" s="1"/>
      <c r="F19" s="18" t="s">
        <v>18</v>
      </c>
      <c r="G19" s="12">
        <f>(G16+G17+G18)/3</f>
        <v>3.1355151792031513</v>
      </c>
      <c r="I19" s="1">
        <f>I16*I17*I18</f>
        <v>9.2834588000000034E-3</v>
      </c>
    </row>
    <row r="21" spans="1:12" ht="16.5" thickBot="1" x14ac:dyDescent="0.3">
      <c r="A21" s="25" t="s">
        <v>37</v>
      </c>
      <c r="B21" s="26"/>
      <c r="C21" s="26"/>
      <c r="D21" s="26"/>
      <c r="E21" s="26"/>
      <c r="F21" s="26"/>
      <c r="G21" s="26"/>
      <c r="H21" s="27"/>
      <c r="I21" s="76"/>
      <c r="J21" s="76"/>
      <c r="K21" s="76"/>
      <c r="L21" s="76"/>
    </row>
    <row r="22" spans="1:12" x14ac:dyDescent="0.25">
      <c r="A22" s="14"/>
      <c r="B22" s="15"/>
      <c r="C22" s="15"/>
      <c r="D22" s="15"/>
      <c r="E22" s="15"/>
      <c r="F22" s="15"/>
      <c r="G22" s="15"/>
      <c r="H22" s="77"/>
      <c r="I22" s="76"/>
      <c r="J22" s="76"/>
      <c r="K22" s="76"/>
      <c r="L22" s="76"/>
    </row>
    <row r="23" spans="1:12" x14ac:dyDescent="0.25">
      <c r="A23" s="14"/>
      <c r="B23" s="15"/>
      <c r="C23" s="15"/>
      <c r="D23" s="15"/>
      <c r="E23" s="15"/>
      <c r="F23" s="15"/>
      <c r="G23" s="15"/>
      <c r="H23" s="16"/>
      <c r="I23" s="76"/>
      <c r="J23" s="76"/>
      <c r="K23" s="76"/>
      <c r="L23" s="76"/>
    </row>
    <row r="24" spans="1:12" x14ac:dyDescent="0.25">
      <c r="A24" s="14"/>
      <c r="B24" s="15"/>
      <c r="C24" s="15"/>
      <c r="D24" s="15"/>
      <c r="E24" s="15"/>
      <c r="F24" s="15"/>
      <c r="G24" s="15"/>
      <c r="H24" s="16"/>
      <c r="I24" s="76"/>
      <c r="J24" s="76"/>
      <c r="K24" s="76"/>
      <c r="L24" s="76"/>
    </row>
    <row r="25" spans="1:12" x14ac:dyDescent="0.25">
      <c r="A25" s="14"/>
      <c r="B25" s="15"/>
      <c r="C25" s="15"/>
      <c r="D25" s="15"/>
      <c r="E25" s="15"/>
      <c r="F25" s="15"/>
      <c r="G25" s="15"/>
      <c r="H25" s="16"/>
      <c r="I25" s="76"/>
      <c r="J25" s="76"/>
      <c r="K25" s="76"/>
      <c r="L25" s="76"/>
    </row>
    <row r="26" spans="1:12" x14ac:dyDescent="0.25">
      <c r="A26" s="14"/>
      <c r="B26" s="15"/>
      <c r="C26" s="15"/>
      <c r="D26" s="15"/>
      <c r="E26" s="15"/>
      <c r="F26" s="15"/>
      <c r="G26" s="15"/>
      <c r="H26" s="16"/>
      <c r="I26" s="76"/>
      <c r="J26" s="76"/>
      <c r="K26" s="76"/>
      <c r="L26" s="76"/>
    </row>
    <row r="27" spans="1:12" x14ac:dyDescent="0.25">
      <c r="A27" s="14"/>
      <c r="B27" s="56" t="s">
        <v>39</v>
      </c>
      <c r="C27" s="15"/>
      <c r="D27" s="15"/>
      <c r="E27" s="15"/>
      <c r="F27" s="15"/>
      <c r="G27" s="15"/>
      <c r="H27" s="17"/>
      <c r="I27" s="76"/>
      <c r="J27" s="76"/>
      <c r="K27" s="76"/>
      <c r="L27" s="76"/>
    </row>
    <row r="28" spans="1:12" ht="18.75" x14ac:dyDescent="0.35">
      <c r="A28" s="58" t="s">
        <v>47</v>
      </c>
      <c r="B28" s="13" t="s">
        <v>27</v>
      </c>
      <c r="C28" s="13" t="s">
        <v>29</v>
      </c>
      <c r="D28" s="13" t="s">
        <v>28</v>
      </c>
      <c r="E28" s="13" t="s">
        <v>30</v>
      </c>
      <c r="F28" s="13" t="s">
        <v>31</v>
      </c>
      <c r="G28" s="13" t="s">
        <v>32</v>
      </c>
      <c r="H28" s="13" t="s">
        <v>33</v>
      </c>
      <c r="I28" s="23" t="s">
        <v>34</v>
      </c>
      <c r="J28" s="23" t="s">
        <v>20</v>
      </c>
      <c r="K28" s="23" t="s">
        <v>15</v>
      </c>
      <c r="L28" s="24" t="s">
        <v>3</v>
      </c>
    </row>
    <row r="29" spans="1:12" x14ac:dyDescent="0.25">
      <c r="A29" s="54">
        <v>1</v>
      </c>
      <c r="B29" s="55">
        <f>6.65/$F$8</f>
        <v>6.6500000000000004E-2</v>
      </c>
      <c r="C29" s="57">
        <f>80/$F$8</f>
        <v>0.8</v>
      </c>
      <c r="D29" s="55">
        <f>56/$F$8</f>
        <v>0.56000000000000005</v>
      </c>
      <c r="E29" s="55">
        <f>$B$29*$C$29*$D$29</f>
        <v>2.9792000000000006E-2</v>
      </c>
      <c r="F29" s="55">
        <f>3.35/$F$8</f>
        <v>3.3500000000000002E-2</v>
      </c>
      <c r="G29" s="55">
        <f>55/$F$8</f>
        <v>0.55000000000000004</v>
      </c>
      <c r="H29" s="55">
        <f>79/$F$8</f>
        <v>0.79</v>
      </c>
      <c r="I29" s="55">
        <f>($F$29*$G$29*$H$29)</f>
        <v>1.4555750000000004E-2</v>
      </c>
      <c r="J29" s="55">
        <f>(E29+I29)/2</f>
        <v>2.2173875000000006E-2</v>
      </c>
      <c r="K29" s="55">
        <f>(7.25/$F$6)/$F$7</f>
        <v>2.0138888888888888E-3</v>
      </c>
      <c r="L29" s="55">
        <f>J29/K29</f>
        <v>11.010475862068969</v>
      </c>
    </row>
    <row r="30" spans="1:12" x14ac:dyDescent="0.25">
      <c r="A30" s="42">
        <v>2</v>
      </c>
      <c r="B30" s="43">
        <f>6.65/$F$8</f>
        <v>6.6500000000000004E-2</v>
      </c>
      <c r="C30" s="43">
        <f>80/$F$8</f>
        <v>0.8</v>
      </c>
      <c r="D30" s="43">
        <f>56/$F$8</f>
        <v>0.56000000000000005</v>
      </c>
      <c r="E30" s="43">
        <f>$B$29*$C$29*$D$29</f>
        <v>2.9792000000000006E-2</v>
      </c>
      <c r="F30" s="43">
        <f>3.35/$F$8</f>
        <v>3.3500000000000002E-2</v>
      </c>
      <c r="G30" s="43">
        <f>55/$F$8</f>
        <v>0.55000000000000004</v>
      </c>
      <c r="H30" s="43">
        <f>79/$F$8</f>
        <v>0.79</v>
      </c>
      <c r="I30" s="43">
        <f>($F$29*$G$29*$H$29)</f>
        <v>1.4555750000000004E-2</v>
      </c>
      <c r="J30" s="43">
        <f t="shared" ref="J30:J31" si="1">(E30+I30)/2</f>
        <v>2.2173875000000006E-2</v>
      </c>
      <c r="K30" s="43">
        <f>(9.53/$F$6)/$F$7</f>
        <v>2.6472222222222223E-3</v>
      </c>
      <c r="L30" s="43">
        <f t="shared" ref="L30:L31" si="2">J30/K30</f>
        <v>8.3762801678908723</v>
      </c>
    </row>
    <row r="31" spans="1:12" x14ac:dyDescent="0.25">
      <c r="A31" s="7">
        <v>3</v>
      </c>
      <c r="B31" s="41">
        <f>6.65/$F$8</f>
        <v>6.6500000000000004E-2</v>
      </c>
      <c r="C31" s="44">
        <f>80/$F$8</f>
        <v>0.8</v>
      </c>
      <c r="D31" s="41">
        <f>56/$F$8</f>
        <v>0.56000000000000005</v>
      </c>
      <c r="E31" s="41">
        <f>$B$29*$C$29*$D$29</f>
        <v>2.9792000000000006E-2</v>
      </c>
      <c r="F31" s="41">
        <f>3.35/$F$8</f>
        <v>3.3500000000000002E-2</v>
      </c>
      <c r="G31" s="41">
        <f>55/$F$8</f>
        <v>0.55000000000000004</v>
      </c>
      <c r="H31" s="41">
        <f>79/$F$8</f>
        <v>0.79</v>
      </c>
      <c r="I31" s="41">
        <f>($F$29*$G$29*$H$29)</f>
        <v>1.4555750000000004E-2</v>
      </c>
      <c r="J31" s="41">
        <f t="shared" si="1"/>
        <v>2.2173875000000006E-2</v>
      </c>
      <c r="K31" s="41">
        <f>(8.96/$F$6)/$F$7</f>
        <v>2.488888888888889E-3</v>
      </c>
      <c r="L31" s="41">
        <f t="shared" si="2"/>
        <v>8.9091462053571444</v>
      </c>
    </row>
    <row r="32" spans="1:12" x14ac:dyDescent="0.25">
      <c r="K32" s="11" t="s">
        <v>18</v>
      </c>
      <c r="L32" s="12">
        <f>(L29+L30+L31)/3</f>
        <v>9.4319674117723284</v>
      </c>
    </row>
    <row r="34" spans="1:8" ht="16.5" thickBot="1" x14ac:dyDescent="0.3">
      <c r="A34" s="30" t="s">
        <v>38</v>
      </c>
      <c r="B34" s="31"/>
      <c r="C34" s="31"/>
      <c r="D34" s="31"/>
      <c r="E34" s="31"/>
      <c r="F34" s="31"/>
      <c r="G34" s="31"/>
      <c r="H34" s="32"/>
    </row>
    <row r="35" spans="1:8" ht="17.25" x14ac:dyDescent="0.25">
      <c r="A35" s="59" t="s">
        <v>48</v>
      </c>
      <c r="B35" s="28" t="s">
        <v>4</v>
      </c>
      <c r="C35" s="28" t="s">
        <v>16</v>
      </c>
      <c r="D35" s="28" t="s">
        <v>13</v>
      </c>
      <c r="E35" s="28" t="s">
        <v>2</v>
      </c>
      <c r="F35" s="28" t="s">
        <v>44</v>
      </c>
      <c r="G35" s="28" t="s">
        <v>15</v>
      </c>
      <c r="H35" s="29" t="s">
        <v>3</v>
      </c>
    </row>
    <row r="36" spans="1:8" x14ac:dyDescent="0.25">
      <c r="A36" s="54">
        <v>1</v>
      </c>
      <c r="B36" s="55">
        <f>9.5/F8</f>
        <v>9.5000000000000001E-2</v>
      </c>
      <c r="C36" s="55">
        <f>28.6/$F$8</f>
        <v>0.28600000000000003</v>
      </c>
      <c r="D36" s="55">
        <f>((3.14159)*((C36/2)^2))</f>
        <v>6.4242373910000011E-2</v>
      </c>
      <c r="E36" s="55">
        <f>D36*B36</f>
        <v>6.103025521450001E-3</v>
      </c>
      <c r="F36" s="54">
        <v>16.16</v>
      </c>
      <c r="G36" s="55">
        <f>F36/$F$7/$F$6</f>
        <v>4.4888888888888886E-3</v>
      </c>
      <c r="H36" s="55">
        <f>E36/G36</f>
        <v>1.3595848933923271</v>
      </c>
    </row>
    <row r="37" spans="1:8" x14ac:dyDescent="0.25">
      <c r="A37" s="45">
        <v>2</v>
      </c>
      <c r="B37" s="46">
        <f>11/F8</f>
        <v>0.11</v>
      </c>
      <c r="C37" s="46">
        <f>28.6/$F$8</f>
        <v>0.28600000000000003</v>
      </c>
      <c r="D37" s="46">
        <f>((3.14159)*((C37/2)^2))</f>
        <v>6.4242373910000011E-2</v>
      </c>
      <c r="E37" s="46">
        <f>D37*B37</f>
        <v>7.0666611301000012E-3</v>
      </c>
      <c r="F37" s="45">
        <v>14.75</v>
      </c>
      <c r="G37" s="46">
        <f>F37/$F$7/$F$6</f>
        <v>4.0972222222222217E-3</v>
      </c>
      <c r="H37" s="46">
        <f>E37/G37</f>
        <v>1.7247444114142378</v>
      </c>
    </row>
    <row r="38" spans="1:8" x14ac:dyDescent="0.25">
      <c r="A38" s="7">
        <v>3</v>
      </c>
      <c r="B38" s="41">
        <f>11.8/F8</f>
        <v>0.11800000000000001</v>
      </c>
      <c r="C38" s="41">
        <f>28.6/$F$8</f>
        <v>0.28600000000000003</v>
      </c>
      <c r="D38" s="41">
        <f>((3.14159)*((C38/2)^2))</f>
        <v>6.4242373910000011E-2</v>
      </c>
      <c r="E38" s="41">
        <f>D38*B38</f>
        <v>7.5806001213800022E-3</v>
      </c>
      <c r="F38" s="7">
        <v>14.35</v>
      </c>
      <c r="G38" s="41">
        <f>F38/$F$7/$F$6</f>
        <v>3.9861111111111113E-3</v>
      </c>
      <c r="H38" s="41">
        <f>E38/G38</f>
        <v>1.9017533405552618</v>
      </c>
    </row>
    <row r="39" spans="1:8" x14ac:dyDescent="0.25">
      <c r="B39" s="1"/>
      <c r="C39" s="1"/>
      <c r="D39" s="1"/>
      <c r="E39" s="1"/>
      <c r="G39" s="19" t="s">
        <v>17</v>
      </c>
      <c r="H39" s="20">
        <f>(H36+H37+H38)/3</f>
        <v>1.6620275484539422</v>
      </c>
    </row>
    <row r="40" spans="1:8" x14ac:dyDescent="0.25">
      <c r="B40" s="1"/>
      <c r="C40" s="1"/>
      <c r="D40" s="1"/>
      <c r="E40" s="1"/>
      <c r="G40" s="103"/>
      <c r="H40" s="103"/>
    </row>
    <row r="41" spans="1:8" x14ac:dyDescent="0.25">
      <c r="B41" s="1"/>
      <c r="C41" s="1"/>
      <c r="D41" s="1"/>
      <c r="E41" s="1"/>
      <c r="G41" s="103"/>
      <c r="H41" s="103"/>
    </row>
    <row r="42" spans="1:8" ht="21" x14ac:dyDescent="0.35">
      <c r="A42" s="105" t="s">
        <v>72</v>
      </c>
      <c r="B42" s="104"/>
      <c r="C42" s="104"/>
      <c r="D42" s="104"/>
      <c r="E42" s="104"/>
      <c r="F42" s="104"/>
      <c r="G42" s="104"/>
      <c r="H42" s="104"/>
    </row>
    <row r="43" spans="1:8" x14ac:dyDescent="0.25">
      <c r="A43" s="71" t="s">
        <v>54</v>
      </c>
      <c r="B43" s="71"/>
      <c r="C43" s="71"/>
      <c r="D43" s="71"/>
      <c r="E43" s="71"/>
      <c r="F43" s="71"/>
      <c r="G43" s="71"/>
      <c r="H43" s="71"/>
    </row>
    <row r="44" spans="1:8" x14ac:dyDescent="0.25">
      <c r="A44" s="70" t="s">
        <v>59</v>
      </c>
      <c r="B44" s="70"/>
      <c r="C44" s="70"/>
      <c r="D44" s="70"/>
      <c r="E44" s="70"/>
      <c r="F44" s="70"/>
      <c r="G44" s="70"/>
      <c r="H44" s="70"/>
    </row>
    <row r="45" spans="1:8" x14ac:dyDescent="0.25">
      <c r="A45" s="69" t="s">
        <v>57</v>
      </c>
      <c r="B45" s="69"/>
      <c r="D45" s="69" t="s">
        <v>58</v>
      </c>
      <c r="E45" s="69"/>
      <c r="F45" s="69"/>
      <c r="G45" s="69"/>
      <c r="H45" s="69"/>
    </row>
    <row r="46" spans="1:8" x14ac:dyDescent="0.25">
      <c r="A46" s="7" t="s">
        <v>4</v>
      </c>
      <c r="B46" s="41">
        <f>$B$16*$C$11</f>
        <v>3.0800000000000008E-2</v>
      </c>
      <c r="D46" s="7" t="s">
        <v>4</v>
      </c>
      <c r="E46" s="41">
        <f>B$29*C$11</f>
        <v>7.3150000000000007E-2</v>
      </c>
      <c r="G46" s="7" t="s">
        <v>4</v>
      </c>
      <c r="H46" s="41">
        <f>$F$29*$C$11</f>
        <v>3.6850000000000008E-2</v>
      </c>
    </row>
    <row r="47" spans="1:8" x14ac:dyDescent="0.25">
      <c r="A47" s="93" t="s">
        <v>0</v>
      </c>
      <c r="B47" s="94">
        <f>$C$16*$C$11</f>
        <v>0.51700000000000002</v>
      </c>
      <c r="D47" s="93" t="s">
        <v>0</v>
      </c>
      <c r="E47" s="94">
        <f>$C$29*$C$11</f>
        <v>0.88000000000000012</v>
      </c>
      <c r="G47" s="93" t="s">
        <v>0</v>
      </c>
      <c r="H47" s="94">
        <f>$G$29*$C$11</f>
        <v>0.60500000000000009</v>
      </c>
    </row>
    <row r="48" spans="1:8" x14ac:dyDescent="0.25">
      <c r="A48" s="7" t="s">
        <v>1</v>
      </c>
      <c r="B48" s="41">
        <f>$D$16*$C$11</f>
        <v>0.58300000000000007</v>
      </c>
      <c r="D48" s="7" t="s">
        <v>1</v>
      </c>
      <c r="E48" s="41">
        <f>$D$29*$C$11</f>
        <v>0.6160000000000001</v>
      </c>
      <c r="G48" s="7" t="s">
        <v>1</v>
      </c>
      <c r="H48" s="41">
        <f>$H$29*$C$11</f>
        <v>0.86900000000000011</v>
      </c>
    </row>
    <row r="49" spans="1:8" x14ac:dyDescent="0.25">
      <c r="A49" s="93" t="s">
        <v>55</v>
      </c>
      <c r="B49" s="94">
        <f>B46*B47*B48</f>
        <v>9.2834588000000034E-3</v>
      </c>
      <c r="D49" s="93" t="s">
        <v>55</v>
      </c>
      <c r="E49" s="94">
        <f>E46*E47*E48</f>
        <v>3.9653152000000011E-2</v>
      </c>
      <c r="G49" s="93" t="s">
        <v>55</v>
      </c>
      <c r="H49" s="94">
        <f>H46*H47*H48</f>
        <v>1.9373703250000009E-2</v>
      </c>
    </row>
    <row r="51" spans="1:8" ht="18" x14ac:dyDescent="0.35">
      <c r="D51" s="69" t="s">
        <v>63</v>
      </c>
      <c r="E51" s="92">
        <f>(E49+H49)/2</f>
        <v>2.9513427625000012E-2</v>
      </c>
    </row>
    <row r="52" spans="1:8" ht="18" x14ac:dyDescent="0.35">
      <c r="A52" s="69" t="s">
        <v>61</v>
      </c>
      <c r="B52" s="92">
        <f>((B49/$F$16)+(B49/$F$17)+(B49/$F$18))/3</f>
        <v>4.173370703519395</v>
      </c>
      <c r="D52" s="69" t="s">
        <v>62</v>
      </c>
      <c r="E52" s="92">
        <f>((E51/$K$29)+(E51/$K$30)+(E51/$K$31))/3</f>
        <v>12.553948625068971</v>
      </c>
    </row>
    <row r="54" spans="1:8" ht="17.25" customHeight="1" x14ac:dyDescent="0.25">
      <c r="A54" s="101" t="s">
        <v>64</v>
      </c>
      <c r="B54" s="101"/>
      <c r="E54" s="83"/>
      <c r="F54" s="83"/>
      <c r="G54" s="83"/>
      <c r="H54" s="83"/>
    </row>
    <row r="55" spans="1:8" ht="18.75" customHeight="1" x14ac:dyDescent="0.35">
      <c r="A55" s="7" t="s">
        <v>65</v>
      </c>
      <c r="B55" s="41">
        <f>$G$36*$C$11</f>
        <v>4.9377777777777779E-3</v>
      </c>
      <c r="E55" s="84"/>
      <c r="F55" s="84"/>
      <c r="G55" s="84"/>
      <c r="H55" s="84"/>
    </row>
    <row r="56" spans="1:8" ht="15" customHeight="1" x14ac:dyDescent="0.35">
      <c r="A56" s="93" t="s">
        <v>66</v>
      </c>
      <c r="B56" s="94">
        <f>$G$37*$C$11</f>
        <v>4.5069444444444445E-3</v>
      </c>
      <c r="E56" s="84"/>
      <c r="F56" s="84"/>
      <c r="G56" s="84"/>
      <c r="H56" s="84"/>
    </row>
    <row r="57" spans="1:8" ht="16.5" customHeight="1" x14ac:dyDescent="0.35">
      <c r="A57" s="7" t="s">
        <v>67</v>
      </c>
      <c r="B57" s="41">
        <f>$G$38*$C$11</f>
        <v>4.384722222222223E-3</v>
      </c>
      <c r="E57" s="84"/>
      <c r="F57" s="84"/>
      <c r="G57" s="84"/>
      <c r="H57" s="84"/>
    </row>
    <row r="58" spans="1:8" ht="18" customHeight="1" x14ac:dyDescent="0.25">
      <c r="A58" s="69" t="s">
        <v>68</v>
      </c>
      <c r="B58" s="92">
        <f>(($E$36/B55)+($E$37/B56)+($E$38/B57))/3</f>
        <v>1.5109341349581291</v>
      </c>
      <c r="E58" s="84"/>
      <c r="F58" s="84"/>
      <c r="G58" s="84"/>
      <c r="H58" s="84"/>
    </row>
    <row r="60" spans="1:8" ht="16.5" thickBot="1" x14ac:dyDescent="0.3">
      <c r="A60" s="5" t="s">
        <v>40</v>
      </c>
      <c r="B60" s="8"/>
      <c r="C60" s="6"/>
    </row>
    <row r="61" spans="1:8" ht="17.25" x14ac:dyDescent="0.25">
      <c r="A61" s="85" t="s">
        <v>23</v>
      </c>
      <c r="B61" s="86"/>
      <c r="C61" s="2">
        <f>B52</f>
        <v>4.173370703519395</v>
      </c>
    </row>
    <row r="62" spans="1:8" x14ac:dyDescent="0.25">
      <c r="A62" s="87" t="s">
        <v>22</v>
      </c>
      <c r="B62" s="88"/>
      <c r="C62" s="10">
        <f>E52</f>
        <v>12.553948625068971</v>
      </c>
    </row>
    <row r="63" spans="1:8" ht="17.25" x14ac:dyDescent="0.25">
      <c r="A63" s="89" t="s">
        <v>21</v>
      </c>
      <c r="B63" s="90"/>
      <c r="C63" s="3">
        <f>B58</f>
        <v>1.5109341349581291</v>
      </c>
    </row>
    <row r="64" spans="1:8" ht="17.25" x14ac:dyDescent="0.25">
      <c r="A64" s="67" t="s">
        <v>35</v>
      </c>
      <c r="B64" s="68"/>
      <c r="C64" s="4">
        <f>$C$9*$C$6</f>
        <v>0.13765161290322581</v>
      </c>
    </row>
    <row r="65" spans="1:8" x14ac:dyDescent="0.25">
      <c r="C65" s="1"/>
    </row>
    <row r="66" spans="1:8" ht="16.5" thickBot="1" x14ac:dyDescent="0.3">
      <c r="A66" s="36" t="s">
        <v>46</v>
      </c>
      <c r="B66" s="8"/>
      <c r="C66" s="36"/>
      <c r="D66" s="37"/>
    </row>
    <row r="67" spans="1:8" ht="17.25" x14ac:dyDescent="0.25">
      <c r="A67" s="33" t="s">
        <v>51</v>
      </c>
      <c r="B67" s="34"/>
      <c r="C67" s="35">
        <f>((C61+C62)-(C63+C64))</f>
        <v>15.078733580727011</v>
      </c>
      <c r="D67" s="9"/>
    </row>
    <row r="68" spans="1:8" x14ac:dyDescent="0.25">
      <c r="A68" s="33" t="s">
        <v>52</v>
      </c>
      <c r="B68" s="34"/>
      <c r="C68" s="35">
        <f>(C67/$C$6)*$F$8</f>
        <v>0.18848416975908763</v>
      </c>
      <c r="D68" s="9"/>
    </row>
    <row r="72" spans="1:8" x14ac:dyDescent="0.25">
      <c r="A72" s="71" t="s">
        <v>69</v>
      </c>
      <c r="B72" s="71"/>
      <c r="C72" s="71"/>
      <c r="D72" s="71"/>
      <c r="E72" s="71"/>
      <c r="F72" s="71"/>
      <c r="G72" s="71"/>
      <c r="H72" s="71"/>
    </row>
    <row r="73" spans="1:8" x14ac:dyDescent="0.25">
      <c r="A73" s="70" t="s">
        <v>59</v>
      </c>
      <c r="B73" s="70"/>
      <c r="C73" s="70"/>
      <c r="D73" s="70"/>
      <c r="E73" s="70"/>
      <c r="F73" s="70"/>
      <c r="G73" s="70"/>
      <c r="H73" s="70"/>
    </row>
    <row r="74" spans="1:8" x14ac:dyDescent="0.25">
      <c r="A74" s="69" t="s">
        <v>57</v>
      </c>
      <c r="B74" s="69"/>
      <c r="D74" s="69" t="s">
        <v>58</v>
      </c>
      <c r="E74" s="69"/>
      <c r="F74" s="69"/>
      <c r="G74" s="69"/>
      <c r="H74" s="69"/>
    </row>
    <row r="75" spans="1:8" x14ac:dyDescent="0.25">
      <c r="A75" s="7" t="s">
        <v>4</v>
      </c>
      <c r="B75" s="41">
        <f>$B$16*$C$12</f>
        <v>2.5200000000000004E-2</v>
      </c>
      <c r="D75" s="7" t="s">
        <v>4</v>
      </c>
      <c r="E75" s="41">
        <f>B$29*C$12</f>
        <v>5.9850000000000007E-2</v>
      </c>
      <c r="G75" s="7" t="s">
        <v>4</v>
      </c>
      <c r="H75" s="41">
        <f>$F$29*$C$12</f>
        <v>3.0150000000000003E-2</v>
      </c>
    </row>
    <row r="76" spans="1:8" x14ac:dyDescent="0.25">
      <c r="A76" s="93" t="s">
        <v>0</v>
      </c>
      <c r="B76" s="94">
        <f>$C$16*$C$12</f>
        <v>0.42299999999999999</v>
      </c>
      <c r="D76" s="93" t="s">
        <v>0</v>
      </c>
      <c r="E76" s="94">
        <f>$C$29*$C$12</f>
        <v>0.72000000000000008</v>
      </c>
      <c r="G76" s="93" t="s">
        <v>0</v>
      </c>
      <c r="H76" s="94">
        <f>$G$29*$C$12</f>
        <v>0.49500000000000005</v>
      </c>
    </row>
    <row r="77" spans="1:8" x14ac:dyDescent="0.25">
      <c r="A77" s="7" t="s">
        <v>1</v>
      </c>
      <c r="B77" s="41">
        <f>$D$16*$C$12</f>
        <v>0.47700000000000004</v>
      </c>
      <c r="D77" s="7" t="s">
        <v>1</v>
      </c>
      <c r="E77" s="41">
        <f>$D$29*$C$12</f>
        <v>0.50400000000000011</v>
      </c>
      <c r="G77" s="7" t="s">
        <v>1</v>
      </c>
      <c r="H77" s="41">
        <f>$H$29*$C$12</f>
        <v>0.71100000000000008</v>
      </c>
    </row>
    <row r="78" spans="1:8" x14ac:dyDescent="0.25">
      <c r="A78" s="93" t="s">
        <v>55</v>
      </c>
      <c r="B78" s="94">
        <f>B75*B76*B77</f>
        <v>5.0846292000000012E-3</v>
      </c>
      <c r="D78" s="93" t="s">
        <v>55</v>
      </c>
      <c r="E78" s="94">
        <f>E75*E76*E77</f>
        <v>2.1718368000000012E-2</v>
      </c>
      <c r="G78" s="93" t="s">
        <v>55</v>
      </c>
      <c r="H78" s="94">
        <f>H75*H76*H77</f>
        <v>1.0611141750000004E-2</v>
      </c>
    </row>
    <row r="80" spans="1:8" ht="18" x14ac:dyDescent="0.35">
      <c r="D80" s="69" t="s">
        <v>60</v>
      </c>
      <c r="E80" s="92">
        <f>(E78+H78)/2</f>
        <v>1.6164754875000006E-2</v>
      </c>
    </row>
    <row r="81" spans="1:5" ht="18" x14ac:dyDescent="0.35">
      <c r="A81" s="69" t="s">
        <v>61</v>
      </c>
      <c r="B81" s="92">
        <f>((B78/$F$16)+(B78/$F$17)+(B78/$F$18))/3</f>
        <v>2.2857905656390969</v>
      </c>
      <c r="D81" s="69" t="s">
        <v>62</v>
      </c>
      <c r="E81" s="92">
        <f>((E80/$K$29)+(E80/$K$30)+(E80/$K$31))/3</f>
        <v>6.8759042431820276</v>
      </c>
    </row>
    <row r="83" spans="1:5" x14ac:dyDescent="0.25">
      <c r="A83" s="101" t="s">
        <v>64</v>
      </c>
      <c r="B83" s="101"/>
    </row>
    <row r="84" spans="1:5" ht="18" x14ac:dyDescent="0.35">
      <c r="A84" s="7" t="s">
        <v>65</v>
      </c>
      <c r="B84" s="41">
        <f>$G$36*$C$12</f>
        <v>4.0400000000000002E-3</v>
      </c>
    </row>
    <row r="85" spans="1:5" ht="18" x14ac:dyDescent="0.35">
      <c r="A85" s="93" t="s">
        <v>66</v>
      </c>
      <c r="B85" s="94">
        <f>$G$37*$C$12</f>
        <v>3.6874999999999998E-3</v>
      </c>
    </row>
    <row r="86" spans="1:5" ht="18" x14ac:dyDescent="0.35">
      <c r="A86" s="7" t="s">
        <v>67</v>
      </c>
      <c r="B86" s="41">
        <f>$G$38*$C$12</f>
        <v>3.5875000000000004E-3</v>
      </c>
    </row>
    <row r="87" spans="1:5" x14ac:dyDescent="0.25">
      <c r="A87" s="69" t="s">
        <v>68</v>
      </c>
      <c r="B87" s="92">
        <f>(($E$36/B84)+($E$37/B85)+($E$38/B86))/3</f>
        <v>1.8466972760599356</v>
      </c>
    </row>
    <row r="89" spans="1:5" ht="16.5" thickBot="1" x14ac:dyDescent="0.3">
      <c r="A89" s="5" t="s">
        <v>40</v>
      </c>
      <c r="B89" s="8"/>
      <c r="C89" s="6"/>
    </row>
    <row r="90" spans="1:5" ht="17.25" x14ac:dyDescent="0.25">
      <c r="A90" s="85" t="s">
        <v>23</v>
      </c>
      <c r="B90" s="86"/>
      <c r="C90" s="2">
        <f>B81</f>
        <v>2.2857905656390969</v>
      </c>
    </row>
    <row r="91" spans="1:5" x14ac:dyDescent="0.25">
      <c r="A91" s="87" t="s">
        <v>22</v>
      </c>
      <c r="B91" s="88"/>
      <c r="C91" s="10">
        <f>E81</f>
        <v>6.8759042431820276</v>
      </c>
    </row>
    <row r="92" spans="1:5" ht="17.25" x14ac:dyDescent="0.25">
      <c r="A92" s="89" t="s">
        <v>21</v>
      </c>
      <c r="B92" s="90"/>
      <c r="C92" s="3">
        <f>B87</f>
        <v>1.8466972760599356</v>
      </c>
    </row>
    <row r="93" spans="1:5" ht="17.25" x14ac:dyDescent="0.25">
      <c r="A93" s="67" t="s">
        <v>35</v>
      </c>
      <c r="B93" s="68"/>
      <c r="C93" s="4">
        <f>$C$9*$C$6</f>
        <v>0.13765161290322581</v>
      </c>
    </row>
    <row r="94" spans="1:5" x14ac:dyDescent="0.25">
      <c r="C94" s="1"/>
    </row>
    <row r="95" spans="1:5" ht="16.5" thickBot="1" x14ac:dyDescent="0.3">
      <c r="A95" s="36" t="s">
        <v>46</v>
      </c>
      <c r="B95" s="8"/>
      <c r="C95" s="36"/>
      <c r="D95" s="37"/>
    </row>
    <row r="96" spans="1:5" ht="17.25" x14ac:dyDescent="0.25">
      <c r="A96" s="33" t="s">
        <v>51</v>
      </c>
      <c r="B96" s="34"/>
      <c r="C96" s="35">
        <f>((C90+C91)-(C92+C93))</f>
        <v>7.177345919857963</v>
      </c>
      <c r="D96" s="9"/>
    </row>
    <row r="97" spans="1:8" x14ac:dyDescent="0.25">
      <c r="A97" s="33" t="s">
        <v>52</v>
      </c>
      <c r="B97" s="34"/>
      <c r="C97" s="35">
        <f>(C96/$C$6)*$F$8</f>
        <v>8.9716823998224546E-2</v>
      </c>
      <c r="D97" s="9"/>
    </row>
    <row r="100" spans="1:8" x14ac:dyDescent="0.25">
      <c r="A100" s="73" t="s">
        <v>45</v>
      </c>
      <c r="B100" s="74"/>
      <c r="C100" s="74"/>
      <c r="D100" s="74"/>
      <c r="E100" s="74"/>
      <c r="F100" s="74"/>
      <c r="G100" s="74"/>
      <c r="H100" s="75"/>
    </row>
    <row r="101" spans="1:8" x14ac:dyDescent="0.25">
      <c r="A101" s="72" t="s">
        <v>71</v>
      </c>
      <c r="B101" s="72"/>
      <c r="C101" s="72"/>
      <c r="D101" s="72"/>
      <c r="E101" s="72"/>
      <c r="F101" s="72"/>
      <c r="G101" s="72"/>
      <c r="H101" s="72"/>
    </row>
    <row r="102" spans="1:8" x14ac:dyDescent="0.25">
      <c r="A102" s="72"/>
      <c r="B102" s="72"/>
      <c r="C102" s="72"/>
      <c r="D102" s="72"/>
      <c r="E102" s="72"/>
      <c r="F102" s="72"/>
      <c r="G102" s="72"/>
      <c r="H102" s="72"/>
    </row>
    <row r="103" spans="1:8" x14ac:dyDescent="0.25">
      <c r="A103" s="72"/>
      <c r="B103" s="72"/>
      <c r="C103" s="72"/>
      <c r="D103" s="72"/>
      <c r="E103" s="72"/>
      <c r="F103" s="72"/>
      <c r="G103" s="72"/>
      <c r="H103" s="72"/>
    </row>
    <row r="104" spans="1:8" x14ac:dyDescent="0.25">
      <c r="A104" s="72"/>
      <c r="B104" s="72"/>
      <c r="C104" s="72"/>
      <c r="D104" s="72"/>
      <c r="E104" s="72"/>
      <c r="F104" s="72"/>
      <c r="G104" s="72"/>
      <c r="H104" s="72"/>
    </row>
    <row r="106" spans="1:8" x14ac:dyDescent="0.25">
      <c r="A106" s="102"/>
      <c r="B106" s="102"/>
    </row>
    <row r="107" spans="1:8" ht="16.5" thickBot="1" x14ac:dyDescent="0.3">
      <c r="A107" s="5" t="s">
        <v>40</v>
      </c>
      <c r="B107" s="8"/>
      <c r="C107" s="6"/>
    </row>
    <row r="108" spans="1:8" ht="17.25" x14ac:dyDescent="0.25">
      <c r="A108" s="61" t="s">
        <v>23</v>
      </c>
      <c r="B108" s="62"/>
      <c r="C108" s="2">
        <f>$G$19</f>
        <v>3.1355151792031513</v>
      </c>
    </row>
    <row r="109" spans="1:8" x14ac:dyDescent="0.25">
      <c r="A109" s="63" t="s">
        <v>22</v>
      </c>
      <c r="B109" s="64"/>
      <c r="C109" s="10">
        <f>$L$32</f>
        <v>9.4319674117723284</v>
      </c>
    </row>
    <row r="110" spans="1:8" ht="17.25" x14ac:dyDescent="0.25">
      <c r="A110" s="65" t="s">
        <v>21</v>
      </c>
      <c r="B110" s="66"/>
      <c r="C110" s="3">
        <f>$H$39</f>
        <v>1.6620275484539422</v>
      </c>
    </row>
    <row r="111" spans="1:8" ht="17.25" x14ac:dyDescent="0.25">
      <c r="A111" s="67" t="s">
        <v>35</v>
      </c>
      <c r="B111" s="68"/>
      <c r="C111" s="4">
        <f>$C$9*$C$6</f>
        <v>0.13765161290322581</v>
      </c>
    </row>
    <row r="112" spans="1:8" x14ac:dyDescent="0.25">
      <c r="C112" s="1"/>
    </row>
    <row r="113" spans="1:4" ht="15.75" x14ac:dyDescent="0.25">
      <c r="A113" s="95" t="s">
        <v>46</v>
      </c>
      <c r="B113" s="96"/>
      <c r="C113" s="95"/>
      <c r="D113" s="97"/>
    </row>
    <row r="114" spans="1:4" ht="17.25" x14ac:dyDescent="0.25">
      <c r="A114" s="98" t="s">
        <v>41</v>
      </c>
      <c r="B114" s="98"/>
      <c r="C114" s="99">
        <f>'Data Analysis'!C49:D49</f>
        <v>10.767803429618311</v>
      </c>
      <c r="D114" s="99"/>
    </row>
    <row r="115" spans="1:4" x14ac:dyDescent="0.25">
      <c r="A115" s="98" t="s">
        <v>52</v>
      </c>
      <c r="B115" s="98"/>
      <c r="C115" s="100">
        <f>'Data Analysis'!C50:D50</f>
        <v>0.13459754287022888</v>
      </c>
      <c r="D115" s="100"/>
    </row>
  </sheetData>
  <mergeCells count="22">
    <mergeCell ref="A114:B114"/>
    <mergeCell ref="C114:D114"/>
    <mergeCell ref="A115:B115"/>
    <mergeCell ref="C115:D115"/>
    <mergeCell ref="A100:H100"/>
    <mergeCell ref="A101:H104"/>
    <mergeCell ref="A108:B108"/>
    <mergeCell ref="A109:B109"/>
    <mergeCell ref="A110:B110"/>
    <mergeCell ref="A111:B111"/>
    <mergeCell ref="A11:B11"/>
    <mergeCell ref="A12:B12"/>
    <mergeCell ref="A93:B93"/>
    <mergeCell ref="A9:B9"/>
    <mergeCell ref="A10:B10"/>
    <mergeCell ref="A64:B64"/>
    <mergeCell ref="A1:B1"/>
    <mergeCell ref="A2:B2"/>
    <mergeCell ref="A3:B3"/>
    <mergeCell ref="A5:B5"/>
    <mergeCell ref="A6:B6"/>
    <mergeCell ref="A7:B7"/>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Assumptions</vt:lpstr>
      <vt:lpstr>Data Analysis</vt:lpstr>
      <vt:lpstr>Extra Credit</vt:lpstr>
    </vt:vector>
  </TitlesOfParts>
  <Company>Humboldt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fa39</dc:creator>
  <cp:lastModifiedBy>Francisco</cp:lastModifiedBy>
  <cp:lastPrinted>2017-12-09T06:00:29Z</cp:lastPrinted>
  <dcterms:created xsi:type="dcterms:W3CDTF">2017-12-01T23:43:33Z</dcterms:created>
  <dcterms:modified xsi:type="dcterms:W3CDTF">2017-12-09T07:57:07Z</dcterms:modified>
</cp:coreProperties>
</file>