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460" yWindow="65116" windowWidth="14115" windowHeight="8685" tabRatio="830" activeTab="0"/>
  </bookViews>
  <sheets>
    <sheet name="Introduction" sheetId="1" r:id="rId1"/>
    <sheet name="Inputs" sheetId="2" r:id="rId2"/>
    <sheet name="Exec Summary" sheetId="3" r:id="rId3"/>
    <sheet name="Projected Savings" sheetId="4" r:id="rId4"/>
    <sheet name="Assumptions and References" sheetId="5" r:id="rId5"/>
  </sheets>
  <externalReferences>
    <externalReference r:id="rId8"/>
  </externalReferences>
  <definedNames>
    <definedName name="CR">'Inputs'!$D$11</definedName>
    <definedName name="footprint">'Inputs'!$D$9</definedName>
    <definedName name="no_machines">'Inputs'!$D$8</definedName>
    <definedName name="_xlnm.Print_Area" localSheetId="2">'Exec Summary'!$C$1:$I$52</definedName>
    <definedName name="_xlnm.Print_Area" localSheetId="1">'Inputs'!$C$1:$I$11</definedName>
    <definedName name="_xlnm.Print_Area" localSheetId="0">'Introduction'!$C$1:$J$29</definedName>
    <definedName name="_xlnm.Print_Area" localSheetId="3">'Projected Savings'!$C$1:$I$48</definedName>
    <definedName name="servers_added">'Inputs'!$D$10</definedName>
  </definedNames>
  <calcPr fullCalcOnLoad="1"/>
</workbook>
</file>

<file path=xl/comments2.xml><?xml version="1.0" encoding="utf-8"?>
<comments xmlns="http://schemas.openxmlformats.org/spreadsheetml/2006/main">
  <authors>
    <author>Scott</author>
    <author> </author>
  </authors>
  <commentList>
    <comment ref="C10" authorId="0">
      <text>
        <r>
          <rPr>
            <sz val="9"/>
            <rFont val="Arial"/>
            <family val="2"/>
          </rPr>
          <t xml:space="preserve">The term "provision" is used to refer to retooling a server for a different task. </t>
        </r>
      </text>
    </comment>
    <comment ref="C11" authorId="1">
      <text>
        <r>
          <rPr>
            <sz val="8"/>
            <rFont val="Tahoma"/>
            <family val="0"/>
          </rPr>
          <t>Vary this value to see how it affects the savings. The consolidation ratio may depend on the virtualization software and the specific needs and available resources of the company implementing server virtualization.</t>
        </r>
      </text>
    </comment>
    <comment ref="C9" authorId="1">
      <text>
        <r>
          <rPr>
            <b/>
            <sz val="8"/>
            <rFont val="Tahoma"/>
            <family val="0"/>
          </rPr>
          <t>surface area of a server footprint, m2/server. If servers are stacked or have a special arrangment, divide the total suface area by the total number of servers.</t>
        </r>
      </text>
    </comment>
  </commentList>
</comments>
</file>

<file path=xl/comments4.xml><?xml version="1.0" encoding="utf-8"?>
<comments xmlns="http://schemas.openxmlformats.org/spreadsheetml/2006/main">
  <authors>
    <author>koray</author>
    <author>model</author>
    <author>Ben</author>
  </authors>
  <commentList>
    <comment ref="C27" authorId="0">
      <text>
        <r>
          <rPr>
            <sz val="9"/>
            <rFont val="Tahoma"/>
            <family val="2"/>
          </rPr>
          <t>Discounted to present value of each year's net cash flow</t>
        </r>
      </text>
    </comment>
    <comment ref="C5" authorId="1">
      <text>
        <r>
          <rPr>
            <sz val="8"/>
            <rFont val="Tahoma"/>
            <family val="2"/>
          </rPr>
          <t>(number of servers) x [(cost of server hardware) + (cost of networking hardware per server)]</t>
        </r>
      </text>
    </comment>
    <comment ref="C6" authorId="1">
      <text>
        <r>
          <rPr>
            <sz val="8"/>
            <rFont val="Tahoma"/>
            <family val="2"/>
          </rPr>
          <t>(number of servers) x (cost of license per server)</t>
        </r>
      </text>
    </comment>
    <comment ref="C7" authorId="1">
      <text>
        <r>
          <rPr>
            <sz val="8"/>
            <rFont val="Tahoma"/>
            <family val="2"/>
          </rPr>
          <t>(cost of IT personel per hour) x [(number of hours of administration / server) x (number of servers) + (number of hours per server provision) x (number of servers added)]</t>
        </r>
      </text>
    </comment>
    <comment ref="C8" authorId="1">
      <text>
        <r>
          <rPr>
            <sz val="8"/>
            <rFont val="Tahoma"/>
            <family val="2"/>
          </rPr>
          <t>(number of servers) x (power consumed per server) x (number of hours server runs per year) x (cost of power) x (1 + ratio of server power to server cooling power)</t>
        </r>
      </text>
    </comment>
    <comment ref="C9" authorId="1">
      <text>
        <r>
          <rPr>
            <sz val="8"/>
            <rFont val="Tahoma"/>
            <family val="2"/>
          </rPr>
          <t>(number of servers) x (space per server) x (cost of space)</t>
        </r>
      </text>
    </comment>
    <comment ref="C15" authorId="1">
      <text>
        <r>
          <rPr>
            <sz val="8"/>
            <rFont val="Tahoma"/>
            <family val="2"/>
          </rPr>
          <t>(number of servers) x (space per server) x (cost of space)</t>
        </r>
      </text>
    </comment>
    <comment ref="C14" authorId="1">
      <text>
        <r>
          <rPr>
            <sz val="8"/>
            <rFont val="Tahoma"/>
            <family val="2"/>
          </rPr>
          <t>(number of physical servers after virtualiation) x (power consumed per server) x (number of hours server runs per year) x (cost of power) x (1+ratio of server power to server cooling power)</t>
        </r>
      </text>
    </comment>
    <comment ref="C13" authorId="1">
      <text>
        <r>
          <rPr>
            <sz val="8"/>
            <rFont val="Tahoma"/>
            <family val="2"/>
          </rPr>
          <t>(Cost of IT personel per hour) x [(number of hours of administration / server) x (number of physical servers after virtualization) + (number of hours per server added) x (number of servers added)]</t>
        </r>
      </text>
    </comment>
    <comment ref="C12" authorId="1">
      <text>
        <r>
          <rPr>
            <sz val="8"/>
            <rFont val="Tahoma"/>
            <family val="2"/>
          </rPr>
          <t>(number of servers after virtualization) x (cost of license per server)</t>
        </r>
      </text>
    </comment>
    <comment ref="C11" authorId="1">
      <text>
        <r>
          <rPr>
            <sz val="8"/>
            <rFont val="Tahoma"/>
            <family val="2"/>
          </rPr>
          <t>(number of physical servers after virtualization) x [(cost of server hardware) + (cost of networking hardware per server)]</t>
        </r>
      </text>
    </comment>
    <comment ref="C17" authorId="1">
      <text>
        <r>
          <rPr>
            <sz val="8"/>
            <rFont val="Tahoma"/>
            <family val="2"/>
          </rPr>
          <t>(number of servers after virtualization) x (annual subscription cost of virtualization software)</t>
        </r>
      </text>
    </comment>
    <comment ref="C18" authorId="1">
      <text>
        <r>
          <rPr>
            <sz val="8"/>
            <rFont val="Tahoma"/>
            <family val="2"/>
          </rPr>
          <t>(number of servers before virtualization) x (server virtualization training cost per physical server before virtualization)</t>
        </r>
      </text>
    </comment>
    <comment ref="C20" authorId="1">
      <text>
        <r>
          <rPr>
            <sz val="8"/>
            <rFont val="Tahoma"/>
            <family val="2"/>
          </rPr>
          <t>(number of servers before virtualization) x ($ / server virtualized)</t>
        </r>
      </text>
    </comment>
    <comment ref="C19" authorId="1">
      <text>
        <r>
          <rPr>
            <sz val="8"/>
            <rFont val="Tahoma"/>
            <family val="2"/>
          </rPr>
          <t>(number of physical servers after virtualization) x (license cost per physical server after virtualization)</t>
        </r>
      </text>
    </comment>
    <comment ref="C22" authorId="2">
      <text>
        <r>
          <rPr>
            <sz val="9"/>
            <rFont val="Tahoma"/>
            <family val="2"/>
          </rPr>
          <t>Sum of costs prior to virtualization</t>
        </r>
      </text>
    </comment>
    <comment ref="C23" authorId="2">
      <text>
        <r>
          <rPr>
            <sz val="9"/>
            <rFont val="Tahoma"/>
            <family val="2"/>
          </rPr>
          <t>Sum of costs after virtualization, investment operating costs, and investment capital costs</t>
        </r>
      </text>
    </comment>
    <comment ref="C24" authorId="2">
      <text>
        <r>
          <rPr>
            <sz val="9"/>
            <rFont val="Tahoma"/>
            <family val="2"/>
          </rPr>
          <t>Total cash outflow (No virtualization) - Total cash outflow (with virtualization)</t>
        </r>
      </text>
    </comment>
    <comment ref="C25" authorId="2">
      <text>
        <r>
          <rPr>
            <sz val="9"/>
            <rFont val="Tahoma"/>
            <family val="2"/>
          </rPr>
          <t>Cumulative sum of expected project savings</t>
        </r>
      </text>
    </comment>
    <comment ref="C28" authorId="2">
      <text>
        <r>
          <rPr>
            <sz val="9"/>
            <rFont val="Tahoma"/>
            <family val="2"/>
          </rPr>
          <t>Cumulative sum of discounted cash flows</t>
        </r>
      </text>
    </comment>
  </commentList>
</comments>
</file>

<file path=xl/sharedStrings.xml><?xml version="1.0" encoding="utf-8"?>
<sst xmlns="http://schemas.openxmlformats.org/spreadsheetml/2006/main" count="237" uniqueCount="156">
  <si>
    <t>This technology has some serious limitations which can greatly affect the performance of its implementation in different settings.  Smaller companies only running a few servers will not see as high returns.  For well established server rooms and server set ups, the switch to virtualized servers could present some technological challenges and potential initial complications.  Before implementing this technology it is advised that your company's specific potential for saving is computed in detail.</t>
  </si>
  <si>
    <t>Click Here!</t>
  </si>
  <si>
    <t xml:space="preserve">To see more in-depth assumption and reference data, </t>
  </si>
  <si>
    <t>DISCLAIMER: The information provided here is for informational purposes only. By no means is any information presented herein intended to substitute for the advice which may be provided to you by a professional. We make no warranties of any kind, expressed or implied, about the completeness, accuracy, or reliability of the data or calculations. For this reason, Queen's University and/or participants of the "Green IT" Project cannot be held responsible for any mistakes or deficiencies in the data or calculations.</t>
  </si>
  <si>
    <t>and enter input values.</t>
  </si>
  <si>
    <t>Projected Cash Flow over 5 years:</t>
  </si>
  <si>
    <t>Payback Period (in years)</t>
  </si>
  <si>
    <t>Investment Costs</t>
  </si>
  <si>
    <t>Projected Savings</t>
  </si>
  <si>
    <t>For companies that utilize a large number of servers, virtualization is an excellent choice not only for the financial savings, but also for an improvement in the company's carbon footprint.  Putting forth the initial effort to implement server virtualization would have a positive effect on the company for years to come.  Below is a summary of the savings that could come about as a result of virtualization.</t>
  </si>
  <si>
    <t>Net Cash Flow (CAD)</t>
  </si>
  <si>
    <t>Total Annual IT staff cost</t>
  </si>
  <si>
    <r>
      <t>For each year, enter the number of servers, space taken up by each server (in m</t>
    </r>
    <r>
      <rPr>
        <b/>
        <vertAlign val="superscript"/>
        <sz val="10"/>
        <rFont val="Arial"/>
        <family val="2"/>
      </rPr>
      <t>2</t>
    </r>
    <r>
      <rPr>
        <b/>
        <sz val="10"/>
        <rFont val="Arial"/>
        <family val="2"/>
      </rPr>
      <t>/server), and number of servers added (or provisioned). Also, enter the expected server consolidation ratio. This number is proportional to the percentage of server potential used. It is the ratio of the number of servers that were required prior to virtualization to the number of physical servers after virtualization. For most companies, this number will range from 8 to 14.4.</t>
    </r>
  </si>
  <si>
    <t>Executive Summary</t>
  </si>
  <si>
    <t>Inputs</t>
  </si>
  <si>
    <t>Assumptions and References</t>
  </si>
  <si>
    <t>Summary of Savings for your Company</t>
  </si>
  <si>
    <r>
      <t>Annual CO</t>
    </r>
    <r>
      <rPr>
        <b/>
        <vertAlign val="subscript"/>
        <sz val="10"/>
        <rFont val="Arial"/>
        <family val="2"/>
      </rPr>
      <t xml:space="preserve">2 </t>
    </r>
    <r>
      <rPr>
        <b/>
        <sz val="10"/>
        <rFont val="Arial"/>
        <family val="2"/>
      </rPr>
      <t>Reduction (kg)</t>
    </r>
  </si>
  <si>
    <r>
      <t>Cumulative CO</t>
    </r>
    <r>
      <rPr>
        <b/>
        <vertAlign val="subscript"/>
        <sz val="10"/>
        <rFont val="Arial"/>
        <family val="2"/>
      </rPr>
      <t xml:space="preserve">2 </t>
    </r>
    <r>
      <rPr>
        <b/>
        <sz val="10"/>
        <rFont val="Arial"/>
        <family val="2"/>
      </rPr>
      <t>Reduction (kg)</t>
    </r>
  </si>
  <si>
    <t>Payback (yrs)</t>
  </si>
  <si>
    <t>Introduction</t>
  </si>
  <si>
    <t>5 Year Estimated Savings Potential</t>
  </si>
  <si>
    <t>Projected Savings Tab</t>
  </si>
  <si>
    <t xml:space="preserve">          For more information, visit our</t>
  </si>
  <si>
    <t>Limitations</t>
  </si>
  <si>
    <t>A server is a computer dedicated to running one or more server programs; these are responsible for running computer programs that require a substantial amount of memory and computing power. Servers are connected to a network, and other computers linked to the network can access the server to run those programs. In addition, they are also used to store information which can be accessed by other computers linked to the network.  It is common practice for individual physical servers to be dedicated to running a single program or task, ensuring that there will always be enough computing power for that program, as well as eliminating any adverse complications between competing programs or tasks running on a single physical server. This also makes the trouble shooting process easier when something goes wrong. That being said, servers often possess more power than necessary for running one specific program or task, and it is not uncommon for much of their computing potential to be unused.  Server virtualization, in basic terms, is a method of using this untapped server computing potential by running multiple server programs on one physical server; this is accomplished by 'tricking' the one physical server into believing it is actually multiple servers, so that there can be no unwanted interaction between programs running on the same physical server.  This tool allows you to explore the potential savings that would result from server virtualization.</t>
  </si>
  <si>
    <t>Projected savings over 5 years:</t>
  </si>
  <si>
    <t>Cash Savings:</t>
  </si>
  <si>
    <t>Annual Cash Flow</t>
  </si>
  <si>
    <t>Try it out!</t>
  </si>
  <si>
    <t>kg CO2 / kWh</t>
  </si>
  <si>
    <r>
      <t>Tons of CO</t>
    </r>
    <r>
      <rPr>
        <vertAlign val="subscript"/>
        <sz val="10"/>
        <rFont val="Arial"/>
        <family val="2"/>
      </rPr>
      <t>2</t>
    </r>
    <r>
      <rPr>
        <sz val="10"/>
        <rFont val="Arial"/>
        <family val="2"/>
      </rPr>
      <t xml:space="preserve"> produced per amount of power consumed</t>
    </r>
  </si>
  <si>
    <t>http://www.uoguelph.ca/~whulet/OGN/Vol1Issue1/Glen_Estill.htm</t>
  </si>
  <si>
    <t>Year 5</t>
  </si>
  <si>
    <t>N/A</t>
  </si>
  <si>
    <r>
      <t>Cumulative Disc. Cash Flow (</t>
    </r>
    <r>
      <rPr>
        <sz val="11"/>
        <color indexed="8"/>
        <rFont val="Calibri"/>
        <family val="2"/>
      </rPr>
      <t>Σ(16))</t>
    </r>
  </si>
  <si>
    <t>.</t>
  </si>
  <si>
    <t>Net Present Value</t>
  </si>
  <si>
    <t>Economic</t>
  </si>
  <si>
    <t>Net Cash Flow Discounted with IRR</t>
  </si>
  <si>
    <t>Sum of Net Cash Flow Discounted with IRR</t>
  </si>
  <si>
    <t>Energy &amp; Resource Consumption</t>
  </si>
  <si>
    <t>Electricity Consumption</t>
  </si>
  <si>
    <t>Other energy sources Consumption</t>
  </si>
  <si>
    <t>Environmental Effect</t>
  </si>
  <si>
    <t>Year 0</t>
  </si>
  <si>
    <t xml:space="preserve">Net CO2 savings </t>
  </si>
  <si>
    <t>Total Waste Generation</t>
  </si>
  <si>
    <t>General Capital Costs</t>
  </si>
  <si>
    <t>General Operating Costs</t>
  </si>
  <si>
    <t>Server Hardware (amortized)</t>
  </si>
  <si>
    <t>Cost of Network Switch (amortized)</t>
  </si>
  <si>
    <t xml:space="preserve">Total Annual IT staff hours required </t>
  </si>
  <si>
    <t>After Server Virtualization</t>
  </si>
  <si>
    <t>Prior to Server Virtualization</t>
  </si>
  <si>
    <t>Server and Networking Hardware</t>
  </si>
  <si>
    <t>Investment Operating Costs</t>
  </si>
  <si>
    <t>Virtualized Operating Costs</t>
  </si>
  <si>
    <t>IT Staff Training Cost</t>
  </si>
  <si>
    <t>License Costs</t>
  </si>
  <si>
    <t>Power Costs</t>
  </si>
  <si>
    <t>Installation and Internal labour</t>
  </si>
  <si>
    <t>Server hours of operation per year</t>
  </si>
  <si>
    <t>hours</t>
  </si>
  <si>
    <t>Total Cash Outflow (No Virtualization)</t>
  </si>
  <si>
    <t>Summary of Costs</t>
  </si>
  <si>
    <t>Total Cash Outflow (With Virtualization)</t>
  </si>
  <si>
    <t>Expected Project Savings</t>
  </si>
  <si>
    <t>Discounted Cash Flow</t>
  </si>
  <si>
    <t>Risk Free Rates Of Return</t>
  </si>
  <si>
    <t>%</t>
  </si>
  <si>
    <t>Cumulative Net Cash Flow</t>
  </si>
  <si>
    <t>Discounted Rate of Return</t>
  </si>
  <si>
    <t>Electricity Consumption Savings (kWh)</t>
  </si>
  <si>
    <t>Other Assumptions</t>
  </si>
  <si>
    <t>Cost of Space</t>
  </si>
  <si>
    <t>Total Investment</t>
  </si>
  <si>
    <t>Server Power consumption</t>
  </si>
  <si>
    <t>COST</t>
  </si>
  <si>
    <t>Non-Virtualized Capital Costs</t>
  </si>
  <si>
    <t>Provisioning</t>
  </si>
  <si>
    <t>$/svr</t>
  </si>
  <si>
    <t>Non-Virtualized Operating Costs</t>
  </si>
  <si>
    <t>W/svr</t>
  </si>
  <si>
    <t>Annual Support Fees</t>
  </si>
  <si>
    <t>IT Staff required per server (administrative tasks)</t>
  </si>
  <si>
    <t>http://news.bbc.co.uk/2/hi/programmes/click_online/8297237.stm</t>
  </si>
  <si>
    <t>Unit</t>
  </si>
  <si>
    <t>COST BASED ON Vsphere TECHNOLOGY</t>
  </si>
  <si>
    <t>Overall ROI (net benefits / Total Investment)</t>
  </si>
  <si>
    <t>Cost Based on Vsphere</t>
  </si>
  <si>
    <t>http://www1.ca.dell.com/content/products/productdetails.aspx/pedge_r200?c=ca&amp;l=en&amp;s=bsd&amp;cs=cabsdt1</t>
  </si>
  <si>
    <t>Capital Cost Savings</t>
  </si>
  <si>
    <t>Installation</t>
  </si>
  <si>
    <t>Operational Savings</t>
  </si>
  <si>
    <t>Person Hours/Server</t>
  </si>
  <si>
    <t>Power Consumption</t>
  </si>
  <si>
    <t>$/kWh</t>
  </si>
  <si>
    <t>Expected person hours to procure, prepare and provision each server</t>
  </si>
  <si>
    <t>Cooling Power consumption</t>
  </si>
  <si>
    <t>1350/svr</t>
  </si>
  <si>
    <t>Annual administrative support hours required per server</t>
  </si>
  <si>
    <t>Estimate based on VMWare server virtualization product line.</t>
  </si>
  <si>
    <t>Software Licenses</t>
  </si>
  <si>
    <t>385/svr</t>
  </si>
  <si>
    <t>Virtual Server License Annual Subscription Cost</t>
  </si>
  <si>
    <t>Projected Payback Period</t>
  </si>
  <si>
    <t xml:space="preserve">Virtual Server License </t>
  </si>
  <si>
    <t xml:space="preserve">Support Staff </t>
  </si>
  <si>
    <t>OPERATIONAL SAVINGS</t>
  </si>
  <si>
    <t>Space</t>
  </si>
  <si>
    <t>Value</t>
  </si>
  <si>
    <t>Software Subscription</t>
  </si>
  <si>
    <t>COSTS OF VIRTUALIZATION</t>
  </si>
  <si>
    <t>Software License</t>
  </si>
  <si>
    <t>IRR</t>
  </si>
  <si>
    <t>$/m^2</t>
  </si>
  <si>
    <t>3850 / virtualized server</t>
  </si>
  <si>
    <t>Cooling</t>
  </si>
  <si>
    <t>(Watts cooling) per (Watts server power)</t>
  </si>
  <si>
    <t>Cost</t>
  </si>
  <si>
    <t>Source</t>
  </si>
  <si>
    <t>Investment Capital Costs</t>
  </si>
  <si>
    <t>9400/svr</t>
  </si>
  <si>
    <t>Switch/Server</t>
  </si>
  <si>
    <t>Person Hours</t>
  </si>
  <si>
    <t>$/Server</t>
  </si>
  <si>
    <t>https://roianalyst.alinean.com/ent_02/AutoLogin.do?d=593411470991915416</t>
  </si>
  <si>
    <t>1000 / server</t>
  </si>
  <si>
    <t>Configuration Management</t>
  </si>
  <si>
    <t>$/switch</t>
  </si>
  <si>
    <t>$/person-hour</t>
  </si>
  <si>
    <t>18500 / virtualized server</t>
  </si>
  <si>
    <t>Virtualized Capital Costs</t>
  </si>
  <si>
    <t>TOTALS</t>
  </si>
  <si>
    <t>Number of Network switches needed/server</t>
  </si>
  <si>
    <t>http://www.ontario-hydro.com/</t>
  </si>
  <si>
    <t>Category</t>
  </si>
  <si>
    <t>Cost of Power</t>
  </si>
  <si>
    <t>Server Administration</t>
  </si>
  <si>
    <t>Baseline</t>
  </si>
  <si>
    <t>Year 1</t>
  </si>
  <si>
    <t>Year 2</t>
  </si>
  <si>
    <t>Year 3</t>
  </si>
  <si>
    <t>Year 4</t>
  </si>
  <si>
    <t xml:space="preserve">Instructions: Fill in the yellow shaded cells. Fill in the blue shaded cells if the inputs are different than that of the baseline. </t>
  </si>
  <si>
    <t>Consolidation ratio</t>
  </si>
  <si>
    <t>Servers added or provisioned per year</t>
  </si>
  <si>
    <t>Space occupied per server</t>
  </si>
  <si>
    <t>Current number of unvirtualized servers</t>
  </si>
  <si>
    <t>Server Virtualization Introduction</t>
  </si>
  <si>
    <t xml:space="preserve">To use this tool, </t>
  </si>
  <si>
    <t>INPUTS:</t>
  </si>
  <si>
    <r>
      <t>CO</t>
    </r>
    <r>
      <rPr>
        <b/>
        <vertAlign val="subscript"/>
        <sz val="10"/>
        <rFont val="Arial"/>
        <family val="2"/>
      </rPr>
      <t>2</t>
    </r>
    <r>
      <rPr>
        <b/>
        <sz val="10"/>
        <rFont val="Arial"/>
        <family val="2"/>
      </rPr>
      <t xml:space="preserve"> Emissions Reduction:</t>
    </r>
  </si>
  <si>
    <t>Example Simulation:</t>
  </si>
  <si>
    <t>2570 tons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</si>
</sst>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
    <numFmt numFmtId="174" formatCode="&quot;$&quot;#,##0"/>
    <numFmt numFmtId="175" formatCode="_(&quot;$&quot;* #,##0_);_(&quot;$&quot;* \(#,##0\);_(&quot;$&quot;* &quot;-&quot;??_);_(@_)"/>
    <numFmt numFmtId="176" formatCode="_(\$* #,##0_);_(\$* \(#,##0\);_(\$* &quot;-&quot;??_);_(@_)"/>
  </numFmts>
  <fonts count="67">
    <font>
      <sz val="10"/>
      <name val="Arial"/>
      <family val="2"/>
    </font>
    <font>
      <sz val="11"/>
      <color indexed="63"/>
      <name val="Calibri"/>
      <family val="2"/>
    </font>
    <font>
      <b/>
      <sz val="10"/>
      <name val="Arial"/>
      <family val="2"/>
    </font>
    <font>
      <b/>
      <sz val="14"/>
      <name val="Arial"/>
      <family val="2"/>
    </font>
    <font>
      <sz val="11"/>
      <color indexed="8"/>
      <name val="Calibri"/>
      <family val="2"/>
    </font>
    <font>
      <sz val="9"/>
      <name val="Tahoma"/>
      <family val="2"/>
    </font>
    <font>
      <vertAlign val="subscript"/>
      <sz val="10"/>
      <name val="Arial"/>
      <family val="2"/>
    </font>
    <font>
      <b/>
      <u val="single"/>
      <sz val="10"/>
      <name val="Arial"/>
      <family val="2"/>
    </font>
    <font>
      <sz val="8"/>
      <name val="Calibri"/>
      <family val="2"/>
    </font>
    <font>
      <b/>
      <sz val="16"/>
      <name val="Arial"/>
      <family val="2"/>
    </font>
    <font>
      <b/>
      <vertAlign val="subscript"/>
      <sz val="10"/>
      <name val="Arial"/>
      <family val="2"/>
    </font>
    <font>
      <b/>
      <sz val="10"/>
      <name val="Calibri"/>
      <family val="2"/>
    </font>
    <font>
      <sz val="8"/>
      <name val="Tahoma"/>
      <family val="2"/>
    </font>
    <font>
      <b/>
      <vertAlign val="superscript"/>
      <sz val="10"/>
      <name val="Arial"/>
      <family val="2"/>
    </font>
    <font>
      <sz val="11"/>
      <name val="Calibri"/>
      <family val="2"/>
    </font>
    <font>
      <sz val="12"/>
      <name val="Arial"/>
      <family val="2"/>
    </font>
    <font>
      <b/>
      <i/>
      <sz val="12"/>
      <name val="Arial"/>
      <family val="2"/>
    </font>
    <font>
      <b/>
      <sz val="11"/>
      <color indexed="63"/>
      <name val="Calibri"/>
      <family val="2"/>
    </font>
    <font>
      <sz val="10"/>
      <color indexed="12"/>
      <name val="Arial"/>
      <family val="2"/>
    </font>
    <font>
      <b/>
      <i/>
      <sz val="17"/>
      <color indexed="63"/>
      <name val="Calibri"/>
      <family val="2"/>
    </font>
    <font>
      <i/>
      <sz val="11"/>
      <color indexed="63"/>
      <name val="Calibri"/>
      <family val="2"/>
    </font>
    <font>
      <u val="single"/>
      <sz val="12"/>
      <color indexed="12"/>
      <name val="Arial"/>
      <family val="2"/>
    </font>
    <font>
      <sz val="8"/>
      <name val="Verdana"/>
      <family val="0"/>
    </font>
    <font>
      <sz val="9"/>
      <name val="Arial"/>
      <family val="2"/>
    </font>
    <font>
      <b/>
      <sz val="8"/>
      <name val="Tahoma"/>
      <family val="0"/>
    </font>
    <font>
      <i/>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8"/>
      <color indexed="62"/>
      <name val="Cambria"/>
      <family val="2"/>
    </font>
    <font>
      <sz val="11"/>
      <color indexed="10"/>
      <name val="Calibri"/>
      <family val="2"/>
    </font>
    <font>
      <sz val="10"/>
      <color indexed="63"/>
      <name val="Calibri"/>
      <family val="0"/>
    </font>
    <font>
      <sz val="8"/>
      <color indexed="63"/>
      <name val="Calibri"/>
      <family val="0"/>
    </font>
    <font>
      <b/>
      <sz val="12"/>
      <color indexed="63"/>
      <name val="Calibri"/>
      <family val="0"/>
    </font>
    <font>
      <sz val="6.9"/>
      <color indexed="63"/>
      <name val="Calibri"/>
      <family val="0"/>
    </font>
    <font>
      <sz val="8.45"/>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29"/>
        <bgColor indexed="64"/>
      </patternFill>
    </fill>
    <fill>
      <patternFill patternType="solid">
        <fgColor indexed="30"/>
        <bgColor indexed="64"/>
      </patternFill>
    </fill>
    <fill>
      <patternFill patternType="solid">
        <fgColor indexed="8"/>
        <bgColor indexed="64"/>
      </patternFill>
    </fill>
    <fill>
      <patternFill patternType="solid">
        <fgColor indexed="23"/>
        <bgColor indexed="64"/>
      </patternFill>
    </fill>
    <fill>
      <patternFill patternType="solid">
        <fgColor indexed="17"/>
        <bgColor indexed="64"/>
      </patternFill>
    </fill>
    <fill>
      <patternFill patternType="solid">
        <fgColor theme="0"/>
        <bgColor indexed="64"/>
      </patternFill>
    </fill>
    <fill>
      <patternFill patternType="solid">
        <fgColor rgb="FF33CCFF"/>
        <bgColor indexed="64"/>
      </patternFill>
    </fill>
    <fill>
      <patternFill patternType="solid">
        <fgColor rgb="FFFFFF00"/>
        <bgColor indexed="64"/>
      </patternFill>
    </fill>
    <fill>
      <patternFill patternType="solid">
        <fgColor indexed="1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medium"/>
      <right style="medium"/>
      <top/>
      <bottom style="medium"/>
    </border>
    <border>
      <left style="medium"/>
      <right style="medium"/>
      <top style="mediumDashed"/>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top/>
      <bottom/>
    </border>
    <border>
      <left style="medium"/>
      <right style="medium"/>
      <top/>
      <bottom/>
    </border>
    <border>
      <left style="medium"/>
      <right/>
      <top style="medium"/>
      <bottom/>
    </border>
    <border>
      <left style="thin"/>
      <right style="thin"/>
      <top style="thin"/>
      <bottom style="thin"/>
    </border>
    <border>
      <left style="thick"/>
      <right style="thick"/>
      <top style="thick"/>
      <bottom style="thick"/>
    </border>
    <border>
      <left style="medium"/>
      <right/>
      <top>
        <color indexed="63"/>
      </top>
      <bottom>
        <color indexed="63"/>
      </bottom>
    </border>
    <border>
      <left>
        <color indexed="63"/>
      </left>
      <right style="medium"/>
      <top/>
      <bottom style="medium"/>
    </border>
    <border>
      <left style="medium"/>
      <right>
        <color indexed="63"/>
      </right>
      <top>
        <color indexed="63"/>
      </top>
      <bottom style="medium"/>
    </border>
    <border>
      <left>
        <color indexed="63"/>
      </left>
      <right>
        <color indexed="63"/>
      </right>
      <top>
        <color indexed="63"/>
      </top>
      <bottom style="medium"/>
    </border>
    <border>
      <left style="thick"/>
      <right>
        <color indexed="63"/>
      </right>
      <top style="thick"/>
      <bottom style="thick"/>
    </border>
    <border>
      <left style="thick"/>
      <right style="thick"/>
      <top style="thick"/>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top style="thin"/>
      <bottom/>
    </border>
    <border>
      <left/>
      <right/>
      <top style="thin"/>
      <bottom/>
    </border>
    <border>
      <left/>
      <right style="thin"/>
      <top style="thin"/>
      <bottom/>
    </border>
    <border>
      <left>
        <color indexed="63"/>
      </left>
      <right>
        <color indexed="63"/>
      </right>
      <top>
        <color indexed="63"/>
      </top>
      <bottom style="thick"/>
    </border>
  </borders>
  <cellStyleXfs count="63">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4">
    <xf numFmtId="0" fontId="0" fillId="0" borderId="0" xfId="0"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174" fontId="0" fillId="33" borderId="12" xfId="0" applyNumberFormat="1" applyFill="1" applyBorder="1" applyAlignment="1">
      <alignment horizontal="center" vertical="center"/>
    </xf>
    <xf numFmtId="172" fontId="0" fillId="33" borderId="12" xfId="0" applyNumberFormat="1" applyFill="1" applyBorder="1" applyAlignment="1">
      <alignment horizontal="center" vertical="center"/>
    </xf>
    <xf numFmtId="0" fontId="0" fillId="33" borderId="10" xfId="0" applyFill="1" applyBorder="1" applyAlignment="1">
      <alignment horizontal="center" vertical="center" wrapText="1"/>
    </xf>
    <xf numFmtId="174" fontId="0" fillId="33" borderId="11" xfId="0" applyNumberFormat="1" applyFill="1" applyBorder="1" applyAlignment="1">
      <alignment horizontal="center" vertical="center"/>
    </xf>
    <xf numFmtId="172" fontId="0" fillId="33" borderId="11" xfId="0" applyNumberFormat="1" applyFill="1" applyBorder="1" applyAlignment="1">
      <alignment horizontal="center" vertical="center"/>
    </xf>
    <xf numFmtId="0" fontId="0" fillId="33" borderId="13" xfId="0" applyFill="1" applyBorder="1" applyAlignment="1">
      <alignment horizontal="center" vertical="center" wrapText="1"/>
    </xf>
    <xf numFmtId="3" fontId="0" fillId="34" borderId="10" xfId="0" applyNumberFormat="1" applyFill="1" applyBorder="1" applyAlignment="1">
      <alignment horizontal="center" vertical="center"/>
    </xf>
    <xf numFmtId="0" fontId="0" fillId="34" borderId="0" xfId="0" applyNumberFormat="1" applyFont="1" applyFill="1" applyBorder="1" applyAlignment="1" applyProtection="1">
      <alignment wrapText="1"/>
      <protection/>
    </xf>
    <xf numFmtId="0" fontId="0" fillId="34" borderId="0" xfId="0" applyNumberFormat="1" applyFill="1" applyBorder="1" applyAlignment="1" applyProtection="1">
      <alignment wrapText="1"/>
      <protection/>
    </xf>
    <xf numFmtId="0" fontId="0" fillId="35" borderId="0" xfId="0" applyNumberFormat="1" applyFont="1" applyFill="1" applyBorder="1" applyAlignment="1" applyProtection="1">
      <alignment wrapText="1"/>
      <protection/>
    </xf>
    <xf numFmtId="0" fontId="0" fillId="36" borderId="0" xfId="0" applyNumberFormat="1" applyFont="1" applyFill="1" applyBorder="1" applyAlignment="1" applyProtection="1">
      <alignment wrapText="1"/>
      <protection/>
    </xf>
    <xf numFmtId="0" fontId="0" fillId="34" borderId="14" xfId="0" applyNumberFormat="1" applyFont="1" applyFill="1" applyBorder="1" applyAlignment="1" applyProtection="1">
      <alignment wrapText="1"/>
      <protection/>
    </xf>
    <xf numFmtId="0" fontId="0" fillId="34" borderId="15" xfId="0" applyNumberFormat="1" applyFont="1" applyFill="1" applyBorder="1" applyAlignment="1" applyProtection="1">
      <alignment wrapText="1"/>
      <protection/>
    </xf>
    <xf numFmtId="0" fontId="0" fillId="34" borderId="14" xfId="0" applyNumberFormat="1" applyFill="1" applyBorder="1" applyAlignment="1" applyProtection="1">
      <alignment wrapText="1"/>
      <protection/>
    </xf>
    <xf numFmtId="0" fontId="0" fillId="34" borderId="16" xfId="0" applyNumberFormat="1" applyFont="1" applyFill="1" applyBorder="1" applyAlignment="1" applyProtection="1">
      <alignment wrapText="1"/>
      <protection/>
    </xf>
    <xf numFmtId="0" fontId="0" fillId="34" borderId="17" xfId="0" applyNumberFormat="1" applyFont="1" applyFill="1" applyBorder="1" applyAlignment="1" applyProtection="1">
      <alignment wrapText="1"/>
      <protection/>
    </xf>
    <xf numFmtId="0" fontId="0" fillId="34" borderId="18" xfId="0" applyNumberFormat="1" applyFont="1" applyFill="1" applyBorder="1" applyAlignment="1" applyProtection="1">
      <alignment wrapText="1"/>
      <protection/>
    </xf>
    <xf numFmtId="0" fontId="0" fillId="36" borderId="14" xfId="0" applyNumberFormat="1" applyFont="1" applyFill="1" applyBorder="1" applyAlignment="1" applyProtection="1">
      <alignment wrapText="1"/>
      <protection/>
    </xf>
    <xf numFmtId="0" fontId="0" fillId="36" borderId="15" xfId="0" applyNumberFormat="1" applyFont="1" applyFill="1" applyBorder="1" applyAlignment="1" applyProtection="1">
      <alignment wrapText="1"/>
      <protection/>
    </xf>
    <xf numFmtId="0" fontId="0" fillId="37" borderId="0" xfId="0" applyNumberFormat="1" applyFont="1" applyFill="1" applyBorder="1" applyAlignment="1" applyProtection="1">
      <alignment wrapText="1"/>
      <protection/>
    </xf>
    <xf numFmtId="0" fontId="0" fillId="37" borderId="0" xfId="0" applyNumberFormat="1" applyFill="1" applyBorder="1" applyAlignment="1" applyProtection="1">
      <alignment wrapText="1"/>
      <protection/>
    </xf>
    <xf numFmtId="0" fontId="0" fillId="35" borderId="14" xfId="0" applyNumberFormat="1" applyFont="1" applyFill="1" applyBorder="1" applyAlignment="1" applyProtection="1">
      <alignment wrapText="1"/>
      <protection/>
    </xf>
    <xf numFmtId="0" fontId="0" fillId="35" borderId="15" xfId="0" applyNumberFormat="1" applyFont="1" applyFill="1" applyBorder="1" applyAlignment="1" applyProtection="1">
      <alignment wrapText="1"/>
      <protection/>
    </xf>
    <xf numFmtId="0" fontId="0" fillId="37" borderId="14" xfId="0" applyNumberFormat="1" applyFont="1" applyFill="1" applyBorder="1" applyAlignment="1" applyProtection="1">
      <alignment wrapText="1"/>
      <protection/>
    </xf>
    <xf numFmtId="0" fontId="0" fillId="37" borderId="15" xfId="0" applyNumberFormat="1" applyFont="1" applyFill="1" applyBorder="1" applyAlignment="1" applyProtection="1">
      <alignment wrapText="1"/>
      <protection/>
    </xf>
    <xf numFmtId="0" fontId="0" fillId="35" borderId="14" xfId="0" applyNumberFormat="1" applyFill="1" applyBorder="1" applyAlignment="1" applyProtection="1">
      <alignment wrapText="1"/>
      <protection/>
    </xf>
    <xf numFmtId="0" fontId="0" fillId="37" borderId="14" xfId="0" applyNumberFormat="1" applyFill="1" applyBorder="1" applyAlignment="1" applyProtection="1">
      <alignment wrapText="1"/>
      <protection/>
    </xf>
    <xf numFmtId="0" fontId="0" fillId="38" borderId="19" xfId="0" applyFill="1" applyBorder="1" applyAlignment="1">
      <alignment horizontal="center" vertical="center"/>
    </xf>
    <xf numFmtId="173" fontId="0" fillId="38" borderId="20" xfId="0" applyNumberFormat="1" applyFill="1" applyBorder="1" applyAlignment="1">
      <alignment horizontal="center" vertical="center"/>
    </xf>
    <xf numFmtId="4" fontId="0" fillId="34" borderId="20" xfId="0" applyNumberFormat="1" applyFill="1" applyBorder="1" applyAlignment="1">
      <alignment horizontal="center" vertical="center"/>
    </xf>
    <xf numFmtId="4" fontId="0" fillId="35" borderId="20" xfId="0" applyNumberFormat="1" applyFill="1" applyBorder="1" applyAlignment="1">
      <alignment horizontal="center" vertical="center"/>
    </xf>
    <xf numFmtId="4" fontId="0" fillId="37" borderId="19" xfId="0" applyNumberFormat="1" applyFill="1" applyBorder="1" applyAlignment="1">
      <alignment horizontal="center" vertical="center"/>
    </xf>
    <xf numFmtId="4" fontId="0" fillId="37" borderId="20" xfId="0" applyNumberFormat="1" applyFill="1" applyBorder="1" applyAlignment="1">
      <alignment horizontal="center" vertical="center"/>
    </xf>
    <xf numFmtId="0" fontId="3" fillId="37" borderId="14" xfId="0" applyNumberFormat="1" applyFont="1" applyFill="1" applyBorder="1" applyAlignment="1" applyProtection="1">
      <alignment horizontal="center" wrapText="1"/>
      <protection/>
    </xf>
    <xf numFmtId="0" fontId="3" fillId="37" borderId="0" xfId="0" applyNumberFormat="1" applyFont="1" applyFill="1" applyBorder="1" applyAlignment="1" applyProtection="1">
      <alignment horizontal="center" wrapText="1"/>
      <protection/>
    </xf>
    <xf numFmtId="0" fontId="3" fillId="37" borderId="15" xfId="0" applyNumberFormat="1" applyFont="1" applyFill="1" applyBorder="1" applyAlignment="1" applyProtection="1">
      <alignment horizontal="center" wrapText="1"/>
      <protection/>
    </xf>
    <xf numFmtId="0" fontId="3" fillId="34" borderId="14" xfId="0" applyNumberFormat="1" applyFont="1" applyFill="1" applyBorder="1" applyAlignment="1" applyProtection="1">
      <alignment horizontal="center" wrapText="1"/>
      <protection/>
    </xf>
    <xf numFmtId="0" fontId="3" fillId="34" borderId="0" xfId="0" applyNumberFormat="1" applyFont="1" applyFill="1" applyBorder="1" applyAlignment="1" applyProtection="1">
      <alignment horizontal="center" wrapText="1"/>
      <protection/>
    </xf>
    <xf numFmtId="0" fontId="3" fillId="34" borderId="15" xfId="0" applyNumberFormat="1" applyFont="1" applyFill="1" applyBorder="1" applyAlignment="1" applyProtection="1">
      <alignment horizontal="center" wrapText="1"/>
      <protection/>
    </xf>
    <xf numFmtId="0" fontId="3" fillId="36" borderId="14" xfId="0" applyNumberFormat="1" applyFont="1" applyFill="1" applyBorder="1" applyAlignment="1" applyProtection="1">
      <alignment horizontal="center" wrapText="1"/>
      <protection/>
    </xf>
    <xf numFmtId="0" fontId="3" fillId="36" borderId="0" xfId="0" applyNumberFormat="1" applyFont="1" applyFill="1" applyBorder="1" applyAlignment="1" applyProtection="1">
      <alignment horizontal="center" wrapText="1"/>
      <protection/>
    </xf>
    <xf numFmtId="0" fontId="3" fillId="36" borderId="15" xfId="0" applyNumberFormat="1" applyFont="1" applyFill="1" applyBorder="1" applyAlignment="1" applyProtection="1">
      <alignment horizontal="center" wrapText="1"/>
      <protection/>
    </xf>
    <xf numFmtId="0" fontId="3" fillId="35" borderId="14" xfId="0" applyNumberFormat="1" applyFont="1" applyFill="1" applyBorder="1" applyAlignment="1" applyProtection="1">
      <alignment horizontal="center" wrapText="1"/>
      <protection/>
    </xf>
    <xf numFmtId="0" fontId="3" fillId="35" borderId="0" xfId="0" applyNumberFormat="1" applyFont="1" applyFill="1" applyBorder="1" applyAlignment="1" applyProtection="1">
      <alignment horizontal="center" wrapText="1"/>
      <protection/>
    </xf>
    <xf numFmtId="0" fontId="3" fillId="35" borderId="15" xfId="0" applyNumberFormat="1" applyFont="1" applyFill="1" applyBorder="1" applyAlignment="1" applyProtection="1">
      <alignment horizontal="center" wrapText="1"/>
      <protection/>
    </xf>
    <xf numFmtId="4" fontId="0" fillId="33" borderId="21" xfId="0" applyNumberFormat="1" applyFill="1" applyBorder="1" applyAlignment="1">
      <alignment horizontal="center"/>
    </xf>
    <xf numFmtId="0" fontId="0" fillId="33" borderId="11" xfId="0" applyFill="1" applyBorder="1" applyAlignment="1">
      <alignment horizontal="center"/>
    </xf>
    <xf numFmtId="0" fontId="7" fillId="0" borderId="0" xfId="0" applyFont="1" applyAlignment="1">
      <alignment vertical="center"/>
    </xf>
    <xf numFmtId="0" fontId="0" fillId="36" borderId="14" xfId="0" applyNumberFormat="1" applyFill="1" applyBorder="1" applyAlignment="1" applyProtection="1">
      <alignment wrapText="1"/>
      <protection/>
    </xf>
    <xf numFmtId="0" fontId="0" fillId="36" borderId="0" xfId="0" applyNumberFormat="1" applyFill="1" applyBorder="1" applyAlignment="1" applyProtection="1">
      <alignment wrapText="1"/>
      <protection/>
    </xf>
    <xf numFmtId="0" fontId="2" fillId="0" borderId="11" xfId="0" applyFont="1" applyBorder="1" applyAlignment="1">
      <alignment horizontal="center" vertical="center" wrapText="1"/>
    </xf>
    <xf numFmtId="0" fontId="0" fillId="39" borderId="11" xfId="0" applyFill="1" applyBorder="1" applyAlignment="1">
      <alignment horizontal="center" vertical="center" wrapText="1"/>
    </xf>
    <xf numFmtId="0" fontId="0" fillId="38" borderId="16" xfId="0" applyNumberFormat="1" applyFill="1" applyBorder="1" applyAlignment="1" applyProtection="1">
      <alignment wrapText="1"/>
      <protection/>
    </xf>
    <xf numFmtId="0" fontId="0" fillId="38" borderId="17" xfId="0" applyNumberFormat="1" applyFont="1" applyFill="1" applyBorder="1" applyAlignment="1" applyProtection="1">
      <alignment wrapText="1"/>
      <protection/>
    </xf>
    <xf numFmtId="0" fontId="0" fillId="38" borderId="17" xfId="0" applyNumberFormat="1" applyFill="1" applyBorder="1" applyAlignment="1" applyProtection="1">
      <alignment wrapText="1"/>
      <protection/>
    </xf>
    <xf numFmtId="0" fontId="0" fillId="38" borderId="18" xfId="0" applyFill="1" applyBorder="1" applyAlignment="1">
      <alignment vertical="center"/>
    </xf>
    <xf numFmtId="170" fontId="0" fillId="38" borderId="20" xfId="44" applyFont="1" applyFill="1" applyBorder="1" applyAlignment="1">
      <alignment horizontal="center" vertical="center"/>
    </xf>
    <xf numFmtId="170" fontId="0" fillId="38" borderId="12" xfId="44" applyFont="1" applyFill="1" applyBorder="1" applyAlignment="1">
      <alignment horizontal="center" vertical="center"/>
    </xf>
    <xf numFmtId="0" fontId="3" fillId="38" borderId="14" xfId="0" applyNumberFormat="1" applyFont="1" applyFill="1" applyBorder="1" applyAlignment="1" applyProtection="1">
      <alignment horizontal="center" wrapText="1"/>
      <protection/>
    </xf>
    <xf numFmtId="0" fontId="3" fillId="38" borderId="0" xfId="0" applyNumberFormat="1" applyFont="1" applyFill="1" applyBorder="1" applyAlignment="1" applyProtection="1">
      <alignment horizontal="center" wrapText="1"/>
      <protection/>
    </xf>
    <xf numFmtId="0" fontId="3" fillId="38" borderId="15" xfId="0" applyNumberFormat="1" applyFont="1" applyFill="1" applyBorder="1" applyAlignment="1" applyProtection="1">
      <alignment horizontal="center" wrapText="1"/>
      <protection/>
    </xf>
    <xf numFmtId="0" fontId="0" fillId="36" borderId="14" xfId="0" applyNumberFormat="1" applyFill="1" applyBorder="1" applyAlignment="1" applyProtection="1">
      <alignment horizontal="left" wrapText="1"/>
      <protection/>
    </xf>
    <xf numFmtId="0" fontId="0" fillId="35" borderId="0" xfId="0" applyNumberFormat="1" applyFont="1" applyFill="1" applyBorder="1" applyAlignment="1" applyProtection="1">
      <alignment horizontal="left" wrapText="1"/>
      <protection/>
    </xf>
    <xf numFmtId="0" fontId="0" fillId="40" borderId="11" xfId="0" applyNumberFormat="1" applyFont="1" applyFill="1" applyBorder="1" applyAlignment="1" applyProtection="1">
      <alignment horizontal="center" wrapText="1"/>
      <protection/>
    </xf>
    <xf numFmtId="0" fontId="0" fillId="40" borderId="11" xfId="0" applyFill="1" applyBorder="1" applyAlignment="1">
      <alignment horizontal="center" vertical="center"/>
    </xf>
    <xf numFmtId="0" fontId="2" fillId="0" borderId="22" xfId="0" applyNumberFormat="1" applyFont="1" applyFill="1" applyBorder="1" applyAlignment="1" applyProtection="1">
      <alignment horizontal="center" wrapText="1"/>
      <protection/>
    </xf>
    <xf numFmtId="0" fontId="0" fillId="33" borderId="12" xfId="0" applyFill="1" applyBorder="1" applyAlignment="1">
      <alignment horizontal="center"/>
    </xf>
    <xf numFmtId="4" fontId="0" fillId="33" borderId="11" xfId="0" applyNumberFormat="1" applyFill="1" applyBorder="1" applyAlignment="1">
      <alignment horizontal="center"/>
    </xf>
    <xf numFmtId="170" fontId="18" fillId="38" borderId="20" xfId="53" applyNumberFormat="1" applyFont="1" applyFill="1" applyBorder="1" applyAlignment="1" applyProtection="1">
      <alignment horizontal="center" vertical="center"/>
      <protection/>
    </xf>
    <xf numFmtId="0" fontId="0" fillId="41" borderId="0" xfId="0" applyFill="1" applyAlignment="1">
      <alignment vertical="center"/>
    </xf>
    <xf numFmtId="0" fontId="0" fillId="33" borderId="0" xfId="0" applyFill="1" applyAlignment="1">
      <alignment vertical="center"/>
    </xf>
    <xf numFmtId="0" fontId="0" fillId="41" borderId="0" xfId="0" applyFill="1" applyBorder="1" applyAlignment="1">
      <alignment vertical="center"/>
    </xf>
    <xf numFmtId="0" fontId="8" fillId="41" borderId="0" xfId="0" applyFont="1" applyFill="1" applyAlignment="1">
      <alignment vertical="top" wrapText="1"/>
    </xf>
    <xf numFmtId="0" fontId="0" fillId="41" borderId="0" xfId="0" applyFill="1" applyBorder="1" applyAlignment="1">
      <alignment horizontal="center" vertical="center"/>
    </xf>
    <xf numFmtId="0" fontId="0" fillId="41" borderId="0" xfId="0" applyFill="1" applyAlignment="1">
      <alignment horizontal="center"/>
    </xf>
    <xf numFmtId="0" fontId="0" fillId="41" borderId="0" xfId="0" applyFill="1" applyAlignment="1">
      <alignment horizontal="center" vertical="center"/>
    </xf>
    <xf numFmtId="0" fontId="9" fillId="41" borderId="0" xfId="0" applyFont="1" applyFill="1" applyAlignment="1">
      <alignment vertical="center"/>
    </xf>
    <xf numFmtId="0" fontId="3" fillId="41" borderId="0" xfId="0" applyNumberFormat="1" applyFont="1" applyFill="1" applyBorder="1" applyAlignment="1" applyProtection="1">
      <alignment wrapText="1"/>
      <protection/>
    </xf>
    <xf numFmtId="0" fontId="8" fillId="33" borderId="0" xfId="0" applyFont="1" applyFill="1" applyAlignment="1">
      <alignment vertical="top" wrapText="1"/>
    </xf>
    <xf numFmtId="0" fontId="2" fillId="33" borderId="23" xfId="0" applyFont="1" applyFill="1" applyBorder="1" applyAlignment="1">
      <alignment horizontal="center" vertical="center" wrapText="1"/>
    </xf>
    <xf numFmtId="0" fontId="0" fillId="33" borderId="0" xfId="0" applyFill="1" applyAlignment="1">
      <alignment vertical="center" wrapText="1"/>
    </xf>
    <xf numFmtId="0" fontId="2"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0" xfId="0" applyFill="1" applyBorder="1" applyAlignment="1">
      <alignment vertical="center"/>
    </xf>
    <xf numFmtId="0" fontId="2" fillId="33" borderId="11" xfId="0" applyFont="1" applyFill="1" applyBorder="1" applyAlignment="1">
      <alignment horizontal="center" vertical="center" wrapText="1"/>
    </xf>
    <xf numFmtId="0" fontId="2" fillId="33" borderId="11" xfId="0" applyNumberFormat="1" applyFont="1" applyFill="1" applyBorder="1" applyAlignment="1" applyProtection="1">
      <alignment horizontal="center" wrapText="1"/>
      <protection/>
    </xf>
    <xf numFmtId="0" fontId="9" fillId="33" borderId="0" xfId="0" applyFont="1" applyFill="1" applyBorder="1" applyAlignment="1">
      <alignment horizontal="center" vertical="center"/>
    </xf>
    <xf numFmtId="0" fontId="9" fillId="33" borderId="0" xfId="0" applyFont="1" applyFill="1" applyAlignment="1">
      <alignment horizontal="center" vertical="center"/>
    </xf>
    <xf numFmtId="0" fontId="9" fillId="33" borderId="0" xfId="0" applyFont="1" applyFill="1" applyAlignment="1">
      <alignment vertical="center"/>
    </xf>
    <xf numFmtId="0" fontId="58" fillId="33" borderId="0" xfId="53" applyFill="1" applyBorder="1" applyAlignment="1" applyProtection="1">
      <alignment horizontal="center" vertical="center"/>
      <protection/>
    </xf>
    <xf numFmtId="0" fontId="14" fillId="33" borderId="0" xfId="0" applyFont="1" applyFill="1" applyBorder="1" applyAlignment="1">
      <alignment horizontal="center" vertical="center" wrapText="1"/>
    </xf>
    <xf numFmtId="0" fontId="0" fillId="33" borderId="0" xfId="0" applyFill="1" applyAlignment="1">
      <alignment horizontal="left" vertical="center" wrapText="1"/>
    </xf>
    <xf numFmtId="175" fontId="0" fillId="33" borderId="23" xfId="44" applyNumberFormat="1" applyFont="1" applyFill="1" applyBorder="1" applyAlignment="1">
      <alignment horizontal="center" vertical="center" wrapText="1"/>
    </xf>
    <xf numFmtId="0" fontId="0" fillId="33" borderId="23" xfId="0" applyFill="1" applyBorder="1" applyAlignment="1">
      <alignment vertical="center"/>
    </xf>
    <xf numFmtId="0" fontId="0" fillId="33" borderId="22" xfId="0" applyNumberFormat="1" applyFont="1" applyFill="1" applyBorder="1" applyAlignment="1" applyProtection="1">
      <alignment wrapText="1"/>
      <protection/>
    </xf>
    <xf numFmtId="0" fontId="0" fillId="33" borderId="22" xfId="0" applyFill="1" applyBorder="1" applyAlignment="1">
      <alignment vertical="center" wrapText="1"/>
    </xf>
    <xf numFmtId="0" fontId="9" fillId="41" borderId="0" xfId="0" applyFont="1" applyFill="1" applyAlignment="1">
      <alignment horizontal="center" vertical="center"/>
    </xf>
    <xf numFmtId="0" fontId="11" fillId="42" borderId="11" xfId="0" applyFont="1" applyFill="1" applyBorder="1" applyAlignment="1">
      <alignment horizontal="center"/>
    </xf>
    <xf numFmtId="2" fontId="11" fillId="42" borderId="11" xfId="0" applyNumberFormat="1" applyFont="1" applyFill="1" applyBorder="1" applyAlignment="1">
      <alignment horizontal="center"/>
    </xf>
    <xf numFmtId="10" fontId="11" fillId="42" borderId="11" xfId="0" applyNumberFormat="1" applyFont="1" applyFill="1" applyBorder="1" applyAlignment="1">
      <alignment horizontal="center"/>
    </xf>
    <xf numFmtId="0" fontId="7" fillId="33" borderId="0" xfId="0" applyFont="1" applyFill="1" applyAlignment="1">
      <alignment vertical="center"/>
    </xf>
    <xf numFmtId="4" fontId="0" fillId="34" borderId="19" xfId="0" applyNumberFormat="1" applyFill="1" applyBorder="1" applyAlignment="1">
      <alignment horizontal="center" vertical="center"/>
    </xf>
    <xf numFmtId="0" fontId="3" fillId="34" borderId="21"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20" xfId="0" applyFill="1" applyBorder="1" applyAlignment="1">
      <alignment horizontal="center" wrapText="1"/>
    </xf>
    <xf numFmtId="0" fontId="0" fillId="34" borderId="12" xfId="0" applyNumberFormat="1" applyFont="1" applyFill="1" applyBorder="1" applyAlignment="1" applyProtection="1">
      <alignment horizontal="center" wrapText="1"/>
      <protection/>
    </xf>
    <xf numFmtId="4" fontId="0" fillId="35" borderId="19" xfId="0" applyNumberFormat="1" applyFill="1" applyBorder="1" applyAlignment="1">
      <alignment horizontal="center" vertical="center"/>
    </xf>
    <xf numFmtId="0" fontId="3" fillId="35" borderId="24" xfId="0" applyFont="1" applyFill="1" applyBorder="1" applyAlignment="1">
      <alignment horizontal="center" vertical="center" wrapText="1"/>
    </xf>
    <xf numFmtId="0" fontId="0" fillId="35" borderId="10" xfId="0" applyFill="1" applyBorder="1" applyAlignment="1">
      <alignment horizontal="center" vertical="center"/>
    </xf>
    <xf numFmtId="0" fontId="0" fillId="35" borderId="20" xfId="0" applyFill="1" applyBorder="1" applyAlignment="1">
      <alignment horizontal="center" vertical="center" wrapText="1"/>
    </xf>
    <xf numFmtId="0" fontId="0" fillId="35" borderId="20" xfId="0" applyFill="1" applyBorder="1" applyAlignment="1">
      <alignment horizontal="center" wrapText="1"/>
    </xf>
    <xf numFmtId="0" fontId="0" fillId="35" borderId="12" xfId="0" applyNumberFormat="1" applyFont="1" applyFill="1" applyBorder="1" applyAlignment="1" applyProtection="1">
      <alignment horizontal="center" wrapText="1"/>
      <protection/>
    </xf>
    <xf numFmtId="0" fontId="3" fillId="37" borderId="20" xfId="0" applyFont="1" applyFill="1" applyBorder="1" applyAlignment="1">
      <alignment horizontal="center" vertical="center" wrapText="1"/>
    </xf>
    <xf numFmtId="0" fontId="0" fillId="37" borderId="10" xfId="0" applyNumberFormat="1" applyFill="1" applyBorder="1" applyAlignment="1" applyProtection="1">
      <alignment horizontal="center" wrapText="1"/>
      <protection/>
    </xf>
    <xf numFmtId="0" fontId="0" fillId="37" borderId="20" xfId="0" applyNumberFormat="1" applyFill="1" applyBorder="1" applyAlignment="1" applyProtection="1">
      <alignment horizontal="center" wrapText="1"/>
      <protection/>
    </xf>
    <xf numFmtId="0" fontId="0" fillId="37" borderId="20" xfId="0" applyNumberFormat="1" applyFont="1" applyFill="1" applyBorder="1" applyAlignment="1" applyProtection="1">
      <alignment horizontal="center" wrapText="1"/>
      <protection/>
    </xf>
    <xf numFmtId="0" fontId="0" fillId="37" borderId="12" xfId="0" applyNumberFormat="1" applyFill="1" applyBorder="1" applyAlignment="1" applyProtection="1">
      <alignment horizontal="center" wrapText="1"/>
      <protection/>
    </xf>
    <xf numFmtId="170" fontId="0" fillId="38" borderId="19" xfId="44" applyFont="1" applyFill="1" applyBorder="1" applyAlignment="1">
      <alignment horizontal="center" vertical="center"/>
    </xf>
    <xf numFmtId="170" fontId="0" fillId="38" borderId="25" xfId="44" applyFont="1" applyFill="1" applyBorder="1" applyAlignment="1">
      <alignment horizontal="center" vertical="center"/>
    </xf>
    <xf numFmtId="0" fontId="3" fillId="38" borderId="20" xfId="0" applyFont="1" applyFill="1" applyBorder="1" applyAlignment="1">
      <alignment horizontal="center" vertical="center" wrapText="1"/>
    </xf>
    <xf numFmtId="0" fontId="0" fillId="38" borderId="10" xfId="0" applyFill="1" applyBorder="1" applyAlignment="1">
      <alignment horizontal="center" vertical="center"/>
    </xf>
    <xf numFmtId="0" fontId="0" fillId="38" borderId="20" xfId="0" applyFill="1" applyBorder="1" applyAlignment="1">
      <alignment horizontal="center" vertical="center"/>
    </xf>
    <xf numFmtId="0" fontId="0" fillId="38" borderId="12" xfId="0" applyFill="1" applyBorder="1" applyAlignment="1">
      <alignment horizontal="center" vertical="center"/>
    </xf>
    <xf numFmtId="0" fontId="0" fillId="43" borderId="0" xfId="0" applyFill="1" applyAlignment="1">
      <alignment vertical="center"/>
    </xf>
    <xf numFmtId="0" fontId="15" fillId="33" borderId="24" xfId="0" applyFont="1" applyFill="1" applyBorder="1" applyAlignment="1">
      <alignment vertical="center"/>
    </xf>
    <xf numFmtId="0" fontId="21" fillId="33" borderId="0" xfId="53" applyFont="1" applyFill="1" applyBorder="1" applyAlignment="1" applyProtection="1">
      <alignment vertical="center"/>
      <protection/>
    </xf>
    <xf numFmtId="0" fontId="15" fillId="33" borderId="0" xfId="0" applyFont="1" applyFill="1" applyBorder="1" applyAlignment="1">
      <alignment vertical="center"/>
    </xf>
    <xf numFmtId="0" fontId="0" fillId="33" borderId="19" xfId="0" applyFill="1" applyBorder="1" applyAlignment="1">
      <alignment vertical="center"/>
    </xf>
    <xf numFmtId="0" fontId="15" fillId="33" borderId="26" xfId="0" applyFont="1" applyFill="1" applyBorder="1" applyAlignment="1">
      <alignment vertical="center"/>
    </xf>
    <xf numFmtId="0" fontId="15" fillId="33" borderId="27" xfId="0" applyFont="1" applyFill="1" applyBorder="1" applyAlignment="1">
      <alignment horizontal="center" vertical="center" wrapText="1"/>
    </xf>
    <xf numFmtId="0" fontId="21" fillId="33" borderId="25" xfId="53" applyFont="1" applyFill="1" applyBorder="1" applyAlignment="1" applyProtection="1">
      <alignment horizontal="center" vertical="center" wrapText="1"/>
      <protection/>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170" fontId="0" fillId="33" borderId="11" xfId="44" applyFont="1" applyFill="1" applyBorder="1" applyAlignment="1">
      <alignment horizontal="center" vertical="center" wrapText="1"/>
    </xf>
    <xf numFmtId="0" fontId="2" fillId="43" borderId="0" xfId="0" applyFont="1" applyFill="1" applyBorder="1" applyAlignment="1">
      <alignment horizontal="center" vertical="center" wrapText="1"/>
    </xf>
    <xf numFmtId="0" fontId="25" fillId="44" borderId="30" xfId="0" applyFont="1" applyFill="1" applyBorder="1" applyAlignment="1">
      <alignment vertical="center"/>
    </xf>
    <xf numFmtId="0" fontId="0" fillId="44" borderId="31" xfId="0" applyFill="1" applyBorder="1" applyAlignment="1">
      <alignment vertical="center"/>
    </xf>
    <xf numFmtId="0" fontId="0" fillId="44" borderId="32" xfId="0" applyFill="1" applyBorder="1" applyAlignment="1">
      <alignment vertical="center"/>
    </xf>
    <xf numFmtId="0" fontId="0" fillId="0" borderId="33" xfId="0" applyNumberFormat="1" applyFont="1" applyFill="1" applyBorder="1" applyAlignment="1" applyProtection="1">
      <alignment horizontal="center" wrapText="1"/>
      <protection/>
    </xf>
    <xf numFmtId="0" fontId="0" fillId="0" borderId="33" xfId="0" applyFill="1" applyBorder="1" applyAlignment="1">
      <alignment horizontal="center" vertical="center"/>
    </xf>
    <xf numFmtId="170" fontId="0" fillId="45" borderId="11" xfId="44" applyFont="1" applyFill="1" applyBorder="1" applyAlignment="1">
      <alignment vertical="center"/>
    </xf>
    <xf numFmtId="0" fontId="0" fillId="45" borderId="33" xfId="0" applyFill="1" applyBorder="1" applyAlignment="1">
      <alignment vertical="center"/>
    </xf>
    <xf numFmtId="0" fontId="2" fillId="33" borderId="34" xfId="0" applyNumberFormat="1" applyFont="1" applyFill="1" applyBorder="1" applyAlignment="1" applyProtection="1">
      <alignment horizontal="center" wrapText="1"/>
      <protection/>
    </xf>
    <xf numFmtId="0" fontId="2" fillId="33" borderId="35" xfId="0" applyNumberFormat="1" applyFont="1" applyFill="1" applyBorder="1" applyAlignment="1" applyProtection="1">
      <alignment horizontal="center" wrapText="1"/>
      <protection/>
    </xf>
    <xf numFmtId="0" fontId="2" fillId="33" borderId="36" xfId="0" applyNumberFormat="1" applyFont="1" applyFill="1" applyBorder="1" applyAlignment="1" applyProtection="1">
      <alignment horizontal="center" wrapText="1"/>
      <protection/>
    </xf>
    <xf numFmtId="0" fontId="7" fillId="33" borderId="27"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2" fillId="33" borderId="37"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8" fillId="46" borderId="0" xfId="0" applyFont="1" applyFill="1" applyBorder="1" applyAlignment="1">
      <alignment horizontal="center" vertical="center" wrapText="1"/>
    </xf>
    <xf numFmtId="0" fontId="3" fillId="33" borderId="0" xfId="0" applyNumberFormat="1" applyFont="1" applyFill="1" applyBorder="1" applyAlignment="1" applyProtection="1">
      <alignment horizontal="center" wrapText="1"/>
      <protection/>
    </xf>
    <xf numFmtId="0" fontId="0" fillId="38" borderId="30" xfId="0" applyNumberFormat="1" applyFill="1" applyBorder="1" applyAlignment="1" applyProtection="1">
      <alignment vertical="center" wrapText="1"/>
      <protection/>
    </xf>
    <xf numFmtId="0" fontId="0" fillId="38" borderId="31" xfId="0" applyFill="1" applyBorder="1" applyAlignment="1">
      <alignment vertical="center"/>
    </xf>
    <xf numFmtId="0" fontId="0" fillId="38" borderId="32" xfId="0" applyFill="1" applyBorder="1" applyAlignment="1">
      <alignment vertical="center"/>
    </xf>
    <xf numFmtId="0" fontId="2" fillId="33" borderId="17" xfId="0" applyFont="1" applyFill="1" applyBorder="1" applyAlignment="1">
      <alignment horizontal="center" vertical="center"/>
    </xf>
    <xf numFmtId="0" fontId="16" fillId="33" borderId="21" xfId="0" applyFont="1" applyFill="1" applyBorder="1" applyAlignment="1">
      <alignment horizontal="center" vertical="center"/>
    </xf>
    <xf numFmtId="0" fontId="16" fillId="33" borderId="38" xfId="0" applyFont="1" applyFill="1" applyBorder="1" applyAlignment="1">
      <alignment horizontal="center" vertical="center"/>
    </xf>
    <xf numFmtId="0" fontId="16" fillId="33" borderId="39" xfId="0" applyFont="1" applyFill="1" applyBorder="1" applyAlignment="1">
      <alignment horizontal="center" vertical="center"/>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9" fillId="33" borderId="0" xfId="0" applyFont="1" applyFill="1" applyBorder="1" applyAlignment="1">
      <alignment horizontal="center" vertical="center"/>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9" fillId="0" borderId="0" xfId="0" applyFont="1" applyAlignment="1">
      <alignment horizontal="center" vertical="center"/>
    </xf>
    <xf numFmtId="0" fontId="14" fillId="33" borderId="40"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4" fillId="33" borderId="42"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2" fillId="33" borderId="0" xfId="0" applyFont="1" applyFill="1" applyAlignment="1">
      <alignment horizontal="center" vertical="center"/>
    </xf>
    <xf numFmtId="0" fontId="2" fillId="33" borderId="43" xfId="0" applyFont="1" applyFill="1" applyBorder="1" applyAlignment="1">
      <alignment horizontal="center" vertical="center" wrapText="1"/>
    </xf>
    <xf numFmtId="0" fontId="14" fillId="33" borderId="41" xfId="0" applyFont="1" applyFill="1" applyBorder="1" applyAlignment="1">
      <alignment horizontal="center" vertical="center"/>
    </xf>
    <xf numFmtId="0" fontId="17" fillId="33" borderId="10" xfId="0" applyFont="1" applyFill="1" applyBorder="1" applyAlignment="1">
      <alignment horizontal="center" vertical="center" textRotation="90" wrapText="1"/>
    </xf>
    <xf numFmtId="0" fontId="17" fillId="33" borderId="20" xfId="0" applyFont="1" applyFill="1" applyBorder="1" applyAlignment="1">
      <alignment horizontal="center" vertical="center" textRotation="90" wrapText="1"/>
    </xf>
    <xf numFmtId="0" fontId="17" fillId="33" borderId="12" xfId="0" applyFont="1" applyFill="1" applyBorder="1" applyAlignment="1">
      <alignment horizontal="center" vertical="center" textRotation="90" wrapText="1"/>
    </xf>
    <xf numFmtId="0" fontId="19" fillId="33" borderId="10" xfId="0" applyFont="1" applyFill="1" applyBorder="1" applyAlignment="1">
      <alignment horizontal="center" vertical="center" textRotation="90"/>
    </xf>
    <xf numFmtId="0" fontId="19" fillId="33" borderId="20" xfId="0" applyFont="1" applyFill="1" applyBorder="1" applyAlignment="1">
      <alignment horizontal="center" vertical="center" textRotation="90"/>
    </xf>
    <xf numFmtId="0" fontId="19" fillId="33" borderId="12" xfId="0" applyFont="1" applyFill="1" applyBorder="1" applyAlignment="1">
      <alignment horizontal="center" vertical="center" textRotation="90"/>
    </xf>
    <xf numFmtId="172" fontId="17" fillId="33" borderId="37" xfId="0" applyNumberFormat="1" applyFont="1" applyFill="1" applyBorder="1" applyAlignment="1">
      <alignment horizontal="center"/>
    </xf>
    <xf numFmtId="0" fontId="0" fillId="0" borderId="33" xfId="0" applyBorder="1" applyAlignment="1">
      <alignment/>
    </xf>
    <xf numFmtId="0" fontId="20" fillId="33" borderId="37" xfId="0" applyFont="1" applyFill="1" applyBorder="1" applyAlignment="1">
      <alignment horizontal="center" vertical="center" wrapText="1"/>
    </xf>
    <xf numFmtId="10" fontId="17" fillId="33" borderId="37" xfId="0" applyNumberFormat="1" applyFont="1" applyFill="1" applyBorder="1" applyAlignment="1">
      <alignment horizontal="center" vertical="center"/>
    </xf>
    <xf numFmtId="0" fontId="20" fillId="33" borderId="37" xfId="0" applyFont="1" applyFill="1" applyBorder="1" applyAlignment="1">
      <alignment horizontal="center" wrapText="1"/>
    </xf>
    <xf numFmtId="0" fontId="0" fillId="0" borderId="33" xfId="0" applyBorder="1" applyAlignment="1">
      <alignment wrapText="1"/>
    </xf>
    <xf numFmtId="2" fontId="17" fillId="33" borderId="37" xfId="0" applyNumberFormat="1" applyFont="1" applyFill="1" applyBorder="1" applyAlignment="1">
      <alignment horizontal="center" vertical="center"/>
    </xf>
    <xf numFmtId="0" fontId="0" fillId="0" borderId="33" xfId="0" applyBorder="1" applyAlignment="1">
      <alignment vertical="center"/>
    </xf>
    <xf numFmtId="0" fontId="20" fillId="33" borderId="37" xfId="0" applyFont="1" applyFill="1" applyBorder="1" applyAlignment="1">
      <alignment horizontal="center"/>
    </xf>
    <xf numFmtId="0" fontId="3" fillId="36" borderId="22" xfId="0" applyNumberFormat="1" applyFont="1" applyFill="1" applyBorder="1" applyAlignment="1" applyProtection="1">
      <alignment horizontal="center" wrapText="1"/>
      <protection/>
    </xf>
    <xf numFmtId="0" fontId="3" fillId="35" borderId="22" xfId="0" applyNumberFormat="1" applyFont="1" applyFill="1" applyBorder="1" applyAlignment="1" applyProtection="1">
      <alignment horizontal="center" wrapText="1"/>
      <protection/>
    </xf>
    <xf numFmtId="0" fontId="3" fillId="38" borderId="22" xfId="0" applyNumberFormat="1" applyFont="1" applyFill="1" applyBorder="1" applyAlignment="1" applyProtection="1">
      <alignment horizontal="center" wrapText="1"/>
      <protection/>
    </xf>
    <xf numFmtId="0" fontId="3" fillId="37" borderId="22" xfId="0" applyNumberFormat="1" applyFont="1" applyFill="1" applyBorder="1" applyAlignment="1" applyProtection="1">
      <alignment horizontal="center" wrapText="1"/>
      <protection/>
    </xf>
    <xf numFmtId="0" fontId="3" fillId="34" borderId="22" xfId="0" applyNumberFormat="1"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rPr>
              <a:t>Net and Cumulative Cash Flows</a:t>
            </a:r>
          </a:p>
        </c:rich>
      </c:tx>
      <c:layout>
        <c:manualLayout>
          <c:xMode val="factor"/>
          <c:yMode val="factor"/>
          <c:x val="0.00425"/>
          <c:y val="-0.019"/>
        </c:manualLayout>
      </c:layout>
      <c:spPr>
        <a:solidFill>
          <a:srgbClr val="FFFFFF"/>
        </a:solidFill>
        <a:ln w="3175">
          <a:noFill/>
        </a:ln>
      </c:spPr>
    </c:title>
    <c:plotArea>
      <c:layout>
        <c:manualLayout>
          <c:xMode val="edge"/>
          <c:yMode val="edge"/>
          <c:x val="0.00175"/>
          <c:y val="0.031"/>
          <c:w val="0.9955"/>
          <c:h val="0.821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'[1]Executive Summary'!$D$22:$I$22</c:f>
              <c:strCache>
                <c:ptCount val="6"/>
                <c:pt idx="0">
                  <c:v>Baseline</c:v>
                </c:pt>
                <c:pt idx="1">
                  <c:v>Year 1</c:v>
                </c:pt>
                <c:pt idx="2">
                  <c:v>Year 2</c:v>
                </c:pt>
                <c:pt idx="3">
                  <c:v>Year 3</c:v>
                </c:pt>
                <c:pt idx="4">
                  <c:v>Year 4</c:v>
                </c:pt>
                <c:pt idx="5">
                  <c:v>Year 5</c:v>
                </c:pt>
              </c:strCache>
            </c:strRef>
          </c:cat>
          <c:val>
            <c:numRef>
              <c:f>'Exec Summary'!$D$19:$I$19</c:f>
              <c:numCache/>
            </c:numRef>
          </c:val>
        </c:ser>
        <c:axId val="44467656"/>
        <c:axId val="64664585"/>
      </c:barChart>
      <c:lineChart>
        <c:grouping val="standard"/>
        <c:varyColors val="0"/>
        <c:ser>
          <c:idx val="1"/>
          <c:order val="1"/>
          <c:tx>
            <c:v>Cumulative Net CF</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'[1]Executive Summary'!$D$22:$I$22</c:f>
              <c:strCache>
                <c:ptCount val="6"/>
                <c:pt idx="0">
                  <c:v>Baseline</c:v>
                </c:pt>
                <c:pt idx="1">
                  <c:v>Year 1</c:v>
                </c:pt>
                <c:pt idx="2">
                  <c:v>Year 2</c:v>
                </c:pt>
                <c:pt idx="3">
                  <c:v>Year 3</c:v>
                </c:pt>
                <c:pt idx="4">
                  <c:v>Year 4</c:v>
                </c:pt>
                <c:pt idx="5">
                  <c:v>Year 5</c:v>
                </c:pt>
              </c:strCache>
            </c:strRef>
          </c:cat>
          <c:val>
            <c:numRef>
              <c:f>'Exec Summary'!$D$20:$I$20</c:f>
              <c:numCache/>
            </c:numRef>
          </c:val>
          <c:smooth val="0"/>
        </c:ser>
        <c:axId val="44467656"/>
        <c:axId val="64664585"/>
      </c:lineChart>
      <c:catAx>
        <c:axId val="4446765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664585"/>
        <c:crosses val="autoZero"/>
        <c:auto val="1"/>
        <c:lblOffset val="100"/>
        <c:tickLblSkip val="1"/>
        <c:noMultiLvlLbl val="0"/>
      </c:catAx>
      <c:valAx>
        <c:axId val="6466458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4467656"/>
        <c:crossesAt val="1"/>
        <c:crossBetween val="between"/>
        <c:dispUnits/>
      </c:valAx>
      <c:spPr>
        <a:solidFill>
          <a:srgbClr val="FFFFFF"/>
        </a:solidFill>
        <a:ln w="3175">
          <a:noFill/>
        </a:ln>
      </c:spPr>
    </c:plotArea>
    <c:legend>
      <c:legendPos val="r"/>
      <c:layout>
        <c:manualLayout>
          <c:xMode val="edge"/>
          <c:yMode val="edge"/>
          <c:x val="0.08275"/>
          <c:y val="0.85125"/>
          <c:w val="0.81275"/>
          <c:h val="0.1487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rPr>
              <a:t>Cumulative CO2 Reduction</a:t>
            </a:r>
          </a:p>
        </c:rich>
      </c:tx>
      <c:layout>
        <c:manualLayout>
          <c:xMode val="factor"/>
          <c:yMode val="factor"/>
          <c:x val="-0.00275"/>
          <c:y val="-0.0095"/>
        </c:manualLayout>
      </c:layout>
      <c:spPr>
        <a:solidFill>
          <a:srgbClr val="FFFFFF"/>
        </a:solidFill>
        <a:ln w="3175">
          <a:noFill/>
        </a:ln>
      </c:spPr>
    </c:title>
    <c:plotArea>
      <c:layout>
        <c:manualLayout>
          <c:xMode val="edge"/>
          <c:yMode val="edge"/>
          <c:x val="0.05375"/>
          <c:y val="0.067"/>
          <c:w val="0.6635"/>
          <c:h val="0.85175"/>
        </c:manualLayout>
      </c:layout>
      <c:barChart>
        <c:barDir val="col"/>
        <c:grouping val="stacked"/>
        <c:varyColors val="0"/>
        <c:ser>
          <c:idx val="0"/>
          <c:order val="0"/>
          <c:tx>
            <c:v>Year 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'Exec Summary'!$C$22</c:f>
              <c:strCache/>
            </c:strRef>
          </c:cat>
          <c:val>
            <c:numRef>
              <c:f>'Projected Savings'!$E$46</c:f>
              <c:numCache>
                <c:ptCount val="1"/>
                <c:pt idx="0">
                  <c:v>514076.21999999986</c:v>
                </c:pt>
              </c:numCache>
            </c:numRef>
          </c:val>
        </c:ser>
        <c:ser>
          <c:idx val="1"/>
          <c:order val="1"/>
          <c:tx>
            <c:v>Year 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'Exec Summary'!$C$22</c:f>
              <c:strCache/>
            </c:strRef>
          </c:cat>
          <c:val>
            <c:numRef>
              <c:f>'Projected Savings'!$F$46</c:f>
              <c:numCache>
                <c:ptCount val="1"/>
                <c:pt idx="0">
                  <c:v>514076.21999999986</c:v>
                </c:pt>
              </c:numCache>
            </c:numRef>
          </c:val>
        </c:ser>
        <c:ser>
          <c:idx val="2"/>
          <c:order val="2"/>
          <c:tx>
            <c:v>Year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'Exec Summary'!$C$22</c:f>
              <c:strCache/>
            </c:strRef>
          </c:cat>
          <c:val>
            <c:numRef>
              <c:f>'Projected Savings'!$G$46</c:f>
              <c:numCache>
                <c:ptCount val="1"/>
                <c:pt idx="0">
                  <c:v>514076.21999999986</c:v>
                </c:pt>
              </c:numCache>
            </c:numRef>
          </c:val>
        </c:ser>
        <c:ser>
          <c:idx val="3"/>
          <c:order val="3"/>
          <c:tx>
            <c:v>Year 4</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'Exec Summary'!$C$22</c:f>
              <c:strCache/>
            </c:strRef>
          </c:cat>
          <c:val>
            <c:numRef>
              <c:f>'Projected Savings'!$H$46</c:f>
              <c:numCache>
                <c:ptCount val="1"/>
                <c:pt idx="0">
                  <c:v>514076.21999999986</c:v>
                </c:pt>
              </c:numCache>
            </c:numRef>
          </c:val>
        </c:ser>
        <c:ser>
          <c:idx val="4"/>
          <c:order val="4"/>
          <c:tx>
            <c:v>Year 5</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'Exec Summary'!$C$22</c:f>
              <c:strCache/>
            </c:strRef>
          </c:cat>
          <c:val>
            <c:numRef>
              <c:f>'Projected Savings'!$I$46</c:f>
              <c:numCache>
                <c:ptCount val="1"/>
                <c:pt idx="0">
                  <c:v>514076.21999999986</c:v>
                </c:pt>
              </c:numCache>
            </c:numRef>
          </c:val>
        </c:ser>
        <c:overlap val="100"/>
        <c:axId val="45110354"/>
        <c:axId val="3340003"/>
      </c:barChart>
      <c:catAx>
        <c:axId val="45110354"/>
        <c:scaling>
          <c:orientation val="minMax"/>
        </c:scaling>
        <c:axPos val="b"/>
        <c:delete val="0"/>
        <c:numFmt formatCode="General" sourceLinked="1"/>
        <c:majorTickMark val="out"/>
        <c:minorTickMark val="none"/>
        <c:tickLblPos val="nextTo"/>
        <c:spPr>
          <a:ln w="3175">
            <a:solidFill>
              <a:srgbClr val="808080"/>
            </a:solidFill>
          </a:ln>
        </c:spPr>
        <c:crossAx val="3340003"/>
        <c:crosses val="autoZero"/>
        <c:auto val="1"/>
        <c:lblOffset val="100"/>
        <c:tickLblSkip val="1"/>
        <c:noMultiLvlLbl val="0"/>
      </c:catAx>
      <c:valAx>
        <c:axId val="33400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10354"/>
        <c:crossesAt val="1"/>
        <c:crossBetween val="between"/>
        <c:dispUnits/>
      </c:valAx>
      <c:spPr>
        <a:solidFill>
          <a:srgbClr val="FFFFFF"/>
        </a:solidFill>
        <a:ln w="3175">
          <a:noFill/>
        </a:ln>
      </c:spPr>
    </c:plotArea>
    <c:legend>
      <c:legendPos val="r"/>
      <c:layout>
        <c:manualLayout>
          <c:xMode val="edge"/>
          <c:yMode val="edge"/>
          <c:x val="0.7635"/>
          <c:y val="0.26325"/>
          <c:w val="0.19425"/>
          <c:h val="0.536"/>
        </c:manualLayout>
      </c:layout>
      <c:overlay val="0"/>
      <c:spPr>
        <a:noFill/>
        <a:ln w="3175">
          <a:noFill/>
        </a:ln>
      </c:spPr>
      <c:txPr>
        <a:bodyPr vert="horz" rot="0"/>
        <a:lstStyle/>
        <a:p>
          <a:pPr>
            <a:defRPr lang="en-US" cap="none" sz="845" b="0" i="0" u="none" baseline="0">
              <a:solidFill>
                <a:srgbClr val="333333"/>
              </a:solidFil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771525</xdr:colOff>
      <xdr:row>19</xdr:row>
      <xdr:rowOff>180975</xdr:rowOff>
    </xdr:from>
    <xdr:to>
      <xdr:col>8</xdr:col>
      <xdr:colOff>581025</xdr:colOff>
      <xdr:row>27</xdr:row>
      <xdr:rowOff>57150</xdr:rowOff>
    </xdr:to>
    <xdr:pic>
      <xdr:nvPicPr>
        <xdr:cNvPr id="1" name="Picture 2" descr="SV graph.jpg"/>
        <xdr:cNvPicPr preferRelativeResize="1">
          <a:picLocks noChangeAspect="1"/>
        </xdr:cNvPicPr>
      </xdr:nvPicPr>
      <xdr:blipFill>
        <a:blip r:embed="rId1"/>
        <a:srcRect b="6689"/>
        <a:stretch>
          <a:fillRect/>
        </a:stretch>
      </xdr:blipFill>
      <xdr:spPr>
        <a:xfrm>
          <a:off x="1466850" y="7038975"/>
          <a:ext cx="5505450" cy="385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142875</xdr:rowOff>
    </xdr:from>
    <xdr:to>
      <xdr:col>5</xdr:col>
      <xdr:colOff>828675</xdr:colOff>
      <xdr:row>45</xdr:row>
      <xdr:rowOff>0</xdr:rowOff>
    </xdr:to>
    <xdr:graphicFrame>
      <xdr:nvGraphicFramePr>
        <xdr:cNvPr id="1" name="Chart 2"/>
        <xdr:cNvGraphicFramePr/>
      </xdr:nvGraphicFramePr>
      <xdr:xfrm>
        <a:off x="571500" y="5191125"/>
        <a:ext cx="4457700" cy="3095625"/>
      </xdr:xfrm>
      <a:graphic>
        <a:graphicData uri="http://schemas.openxmlformats.org/drawingml/2006/chart">
          <c:chart xmlns:c="http://schemas.openxmlformats.org/drawingml/2006/chart" r:id="rId1"/>
        </a:graphicData>
      </a:graphic>
    </xdr:graphicFrame>
    <xdr:clientData/>
  </xdr:twoCellAnchor>
  <xdr:twoCellAnchor>
    <xdr:from>
      <xdr:col>5</xdr:col>
      <xdr:colOff>1143000</xdr:colOff>
      <xdr:row>25</xdr:row>
      <xdr:rowOff>142875</xdr:rowOff>
    </xdr:from>
    <xdr:to>
      <xdr:col>8</xdr:col>
      <xdr:colOff>1123950</xdr:colOff>
      <xdr:row>45</xdr:row>
      <xdr:rowOff>28575</xdr:rowOff>
    </xdr:to>
    <xdr:graphicFrame>
      <xdr:nvGraphicFramePr>
        <xdr:cNvPr id="2" name="Chart 8"/>
        <xdr:cNvGraphicFramePr/>
      </xdr:nvGraphicFramePr>
      <xdr:xfrm>
        <a:off x="5343525" y="5191125"/>
        <a:ext cx="3467100" cy="3124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rystal\My%20Documents\Downloads\ECM006_travel_-_videoconferencing_Dec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Graphs"/>
      <sheetName val="Assumptions"/>
    </sheetNames>
    <sheetDataSet>
      <sheetData sheetId="2">
        <row r="22">
          <cell r="D22" t="str">
            <v>Baseline</v>
          </cell>
          <cell r="E22" t="str">
            <v>Year 1</v>
          </cell>
          <cell r="F22" t="str">
            <v>Year 2</v>
          </cell>
          <cell r="G22" t="str">
            <v>Year 3</v>
          </cell>
          <cell r="H22" t="str">
            <v>Year 4</v>
          </cell>
          <cell r="I22" t="str">
            <v>Year 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P29"/>
  <sheetViews>
    <sheetView tabSelected="1" zoomScalePageLayoutView="0" workbookViewId="0" topLeftCell="A1">
      <pane ySplit="1" topLeftCell="A2" activePane="bottomLeft" state="frozen"/>
      <selection pane="topLeft" activeCell="A1" sqref="A1"/>
      <selection pane="bottomLeft" activeCell="G12" sqref="G12"/>
    </sheetView>
  </sheetViews>
  <sheetFormatPr defaultColWidth="17.140625" defaultRowHeight="12.75" customHeight="1"/>
  <cols>
    <col min="1" max="1" width="7.8515625" style="73" customWidth="1"/>
    <col min="2" max="2" width="2.57421875" style="73" customWidth="1"/>
    <col min="3" max="3" width="16.140625" style="73" customWidth="1"/>
    <col min="4" max="4" width="14.7109375" style="73" customWidth="1"/>
    <col min="5" max="5" width="13.8515625" style="73" customWidth="1"/>
    <col min="6" max="6" width="12.7109375" style="73" customWidth="1"/>
    <col min="7" max="8" width="14.00390625" style="73" bestFit="1" customWidth="1"/>
    <col min="9" max="9" width="14.00390625" style="73" customWidth="1"/>
    <col min="10" max="10" width="15.28125" style="73" customWidth="1"/>
    <col min="11" max="11" width="2.57421875" style="73" customWidth="1"/>
    <col min="12" max="13" width="17.140625" style="73" customWidth="1"/>
    <col min="14" max="14" width="5.140625" style="73" customWidth="1"/>
    <col min="15" max="22" width="17.140625" style="73" customWidth="1"/>
    <col min="23" max="16384" width="17.140625" style="73" customWidth="1"/>
  </cols>
  <sheetData>
    <row r="1" spans="2:11" s="75" customFormat="1" ht="19.5" customHeight="1">
      <c r="B1" s="87"/>
      <c r="C1" s="157" t="s">
        <v>150</v>
      </c>
      <c r="D1" s="157"/>
      <c r="E1" s="157"/>
      <c r="F1" s="157"/>
      <c r="G1" s="157"/>
      <c r="H1" s="157"/>
      <c r="I1" s="157"/>
      <c r="J1" s="157"/>
      <c r="K1" s="87"/>
    </row>
    <row r="2" spans="2:11" ht="12.75" customHeight="1">
      <c r="B2" s="74"/>
      <c r="C2" s="161"/>
      <c r="D2" s="161"/>
      <c r="E2" s="161"/>
      <c r="F2" s="161"/>
      <c r="G2" s="161"/>
      <c r="H2" s="161"/>
      <c r="I2" s="161"/>
      <c r="J2" s="161"/>
      <c r="K2" s="74"/>
    </row>
    <row r="3" spans="2:11" ht="158.25" customHeight="1">
      <c r="B3"/>
      <c r="C3" s="158" t="s">
        <v>25</v>
      </c>
      <c r="D3" s="159"/>
      <c r="E3" s="159"/>
      <c r="F3" s="159"/>
      <c r="G3" s="159"/>
      <c r="H3" s="159"/>
      <c r="I3" s="159"/>
      <c r="J3" s="160"/>
      <c r="K3" s="74"/>
    </row>
    <row r="4" spans="2:11" ht="12.75" customHeight="1" thickBot="1">
      <c r="B4" s="74"/>
      <c r="C4" s="74"/>
      <c r="D4" s="74"/>
      <c r="E4" s="74"/>
      <c r="F4" s="74"/>
      <c r="G4" s="74"/>
      <c r="H4" s="74"/>
      <c r="I4" s="74"/>
      <c r="J4" s="74"/>
      <c r="K4" s="74"/>
    </row>
    <row r="5" spans="2:11" ht="18.75" customHeight="1">
      <c r="B5" s="74"/>
      <c r="C5" s="74"/>
      <c r="D5" s="162" t="s">
        <v>29</v>
      </c>
      <c r="E5" s="163"/>
      <c r="F5" s="163"/>
      <c r="G5" s="163"/>
      <c r="H5" s="164"/>
      <c r="I5" s="128"/>
      <c r="J5" s="74"/>
      <c r="K5" s="74"/>
    </row>
    <row r="6" spans="2:11" ht="18" customHeight="1">
      <c r="B6" s="74"/>
      <c r="C6" s="74"/>
      <c r="D6" s="129" t="s">
        <v>151</v>
      </c>
      <c r="E6" s="87"/>
      <c r="F6" s="130" t="s">
        <v>1</v>
      </c>
      <c r="G6" s="131" t="s">
        <v>4</v>
      </c>
      <c r="H6" s="132"/>
      <c r="I6" s="128"/>
      <c r="J6" s="74"/>
      <c r="K6" s="74"/>
    </row>
    <row r="7" spans="2:11" ht="21.75" customHeight="1" thickBot="1">
      <c r="B7" s="74"/>
      <c r="C7" s="74"/>
      <c r="D7" s="133" t="s">
        <v>2</v>
      </c>
      <c r="E7" s="134"/>
      <c r="F7" s="134"/>
      <c r="G7" s="134"/>
      <c r="H7" s="135" t="s">
        <v>1</v>
      </c>
      <c r="I7" s="128"/>
      <c r="J7" s="74"/>
      <c r="K7" s="74"/>
    </row>
    <row r="8" spans="2:11" ht="12.75" customHeight="1">
      <c r="B8" s="128"/>
      <c r="C8" s="128"/>
      <c r="D8" s="128"/>
      <c r="E8" s="74"/>
      <c r="F8" s="74"/>
      <c r="G8" s="74"/>
      <c r="H8" s="74"/>
      <c r="I8" s="74"/>
      <c r="J8" s="74"/>
      <c r="K8" s="74"/>
    </row>
    <row r="9" spans="2:11" ht="24.75" customHeight="1">
      <c r="B9" s="128"/>
      <c r="C9" s="140" t="s">
        <v>154</v>
      </c>
      <c r="D9" s="141"/>
      <c r="E9" s="141"/>
      <c r="F9" s="141"/>
      <c r="G9" s="141"/>
      <c r="H9" s="141"/>
      <c r="I9" s="141"/>
      <c r="J9" s="142"/>
      <c r="K9" s="74"/>
    </row>
    <row r="10" spans="2:11" ht="10.5" customHeight="1" thickBot="1">
      <c r="B10" s="128"/>
      <c r="C10" s="128"/>
      <c r="D10" s="128"/>
      <c r="E10" s="74"/>
      <c r="F10" s="74"/>
      <c r="G10" s="74"/>
      <c r="H10" s="74"/>
      <c r="I10" s="74"/>
      <c r="J10" s="74"/>
      <c r="K10" s="74"/>
    </row>
    <row r="11" spans="2:11" ht="20.25" customHeight="1" thickBot="1">
      <c r="B11" s="128"/>
      <c r="C11" s="150" t="s">
        <v>152</v>
      </c>
      <c r="D11" s="150"/>
      <c r="E11" s="151"/>
      <c r="F11" s="54" t="s">
        <v>140</v>
      </c>
      <c r="G11" s="128"/>
      <c r="H11" s="51" t="s">
        <v>26</v>
      </c>
      <c r="I11"/>
      <c r="J11" s="74"/>
      <c r="K11" s="74"/>
    </row>
    <row r="12" spans="2:11" ht="17.25" customHeight="1" thickBot="1">
      <c r="B12" s="74"/>
      <c r="C12" s="165" t="s">
        <v>149</v>
      </c>
      <c r="D12" s="166"/>
      <c r="E12" s="167"/>
      <c r="F12" s="143">
        <v>144</v>
      </c>
      <c r="G12" s="128"/>
      <c r="H12" s="152" t="s">
        <v>27</v>
      </c>
      <c r="I12" s="153"/>
      <c r="J12" s="145">
        <v>2226870.8451639866</v>
      </c>
      <c r="K12" s="74"/>
    </row>
    <row r="13" spans="2:11" ht="24.75" customHeight="1" thickBot="1">
      <c r="B13" s="74"/>
      <c r="C13" s="165" t="s">
        <v>148</v>
      </c>
      <c r="D13" s="166"/>
      <c r="E13" s="167"/>
      <c r="F13" s="144">
        <v>0.2</v>
      </c>
      <c r="G13" s="128"/>
      <c r="H13" s="154" t="s">
        <v>153</v>
      </c>
      <c r="I13" s="155"/>
      <c r="J13" s="146" t="s">
        <v>155</v>
      </c>
      <c r="K13" s="74"/>
    </row>
    <row r="14" spans="2:11" ht="29.25" customHeight="1" thickBot="1">
      <c r="B14" s="74"/>
      <c r="C14" s="165" t="s">
        <v>147</v>
      </c>
      <c r="D14" s="166"/>
      <c r="E14" s="167"/>
      <c r="F14" s="144">
        <v>60</v>
      </c>
      <c r="G14" s="128"/>
      <c r="H14" s="128"/>
      <c r="I14" s="128"/>
      <c r="J14" s="128"/>
      <c r="K14" s="74"/>
    </row>
    <row r="15" spans="2:11" ht="28.5" customHeight="1" thickBot="1">
      <c r="B15" s="74"/>
      <c r="C15" s="147" t="s">
        <v>146</v>
      </c>
      <c r="D15" s="148"/>
      <c r="E15" s="149"/>
      <c r="F15" s="144">
        <v>8</v>
      </c>
      <c r="G15" s="128"/>
      <c r="H15" s="128"/>
      <c r="I15" s="128"/>
      <c r="J15" s="128"/>
      <c r="K15" s="74"/>
    </row>
    <row r="16" spans="2:11" ht="23.25" customHeight="1" thickBot="1">
      <c r="B16" s="74"/>
      <c r="C16" s="104" t="s">
        <v>5</v>
      </c>
      <c r="D16" s="74"/>
      <c r="E16" s="74"/>
      <c r="F16" s="74"/>
      <c r="G16" s="74"/>
      <c r="H16" s="74"/>
      <c r="I16" s="74"/>
      <c r="J16" s="74"/>
      <c r="K16" s="74"/>
    </row>
    <row r="17" spans="2:11" ht="23.25" customHeight="1" thickBot="1" thickTop="1">
      <c r="B17" s="74"/>
      <c r="C17" s="84"/>
      <c r="D17" s="137" t="s">
        <v>140</v>
      </c>
      <c r="E17" s="137" t="s">
        <v>141</v>
      </c>
      <c r="F17" s="137" t="s">
        <v>142</v>
      </c>
      <c r="G17" s="137" t="s">
        <v>143</v>
      </c>
      <c r="H17" s="137" t="s">
        <v>144</v>
      </c>
      <c r="I17" s="137" t="s">
        <v>33</v>
      </c>
      <c r="J17" s="74"/>
      <c r="K17" s="74"/>
    </row>
    <row r="18" spans="2:11" ht="31.5" customHeight="1" thickBot="1" thickTop="1">
      <c r="B18" s="74"/>
      <c r="C18" s="136" t="s">
        <v>28</v>
      </c>
      <c r="D18" s="138">
        <v>-470880</v>
      </c>
      <c r="E18" s="138">
        <v>553703.35791</v>
      </c>
      <c r="F18" s="138">
        <v>553703.35791</v>
      </c>
      <c r="G18" s="138">
        <v>553703.35791</v>
      </c>
      <c r="H18" s="138">
        <v>553703.35791</v>
      </c>
      <c r="I18" s="138">
        <v>553703.35791</v>
      </c>
      <c r="J18" s="74"/>
      <c r="K18" s="74"/>
    </row>
    <row r="19" spans="2:11" ht="32.25" customHeight="1" thickBot="1" thickTop="1">
      <c r="B19" s="74"/>
      <c r="C19" s="136" t="s">
        <v>71</v>
      </c>
      <c r="D19" s="138">
        <v>-470880</v>
      </c>
      <c r="E19" s="138">
        <v>82823.35791000002</v>
      </c>
      <c r="F19" s="138">
        <v>636526.71582</v>
      </c>
      <c r="G19" s="138">
        <v>1190230.07373</v>
      </c>
      <c r="H19" s="138">
        <v>1743933.43164</v>
      </c>
      <c r="I19" s="138">
        <v>2297636.78955</v>
      </c>
      <c r="J19" s="74"/>
      <c r="K19" s="74"/>
    </row>
    <row r="20" spans="2:11" ht="46.5" customHeight="1" thickTop="1">
      <c r="B20" s="74"/>
      <c r="C20" s="139"/>
      <c r="D20" s="128"/>
      <c r="E20" s="128"/>
      <c r="F20" s="128"/>
      <c r="G20" s="86"/>
      <c r="H20" s="86"/>
      <c r="I20" s="86"/>
      <c r="J20" s="74"/>
      <c r="K20" s="74"/>
    </row>
    <row r="21" spans="2:16" ht="59.25" customHeight="1">
      <c r="B21" s="74"/>
      <c r="C21" s="128"/>
      <c r="D21" s="128"/>
      <c r="E21" s="128"/>
      <c r="F21" s="128"/>
      <c r="G21" s="74"/>
      <c r="H21" s="74"/>
      <c r="I21" s="74"/>
      <c r="J21" s="82"/>
      <c r="K21" s="82"/>
      <c r="L21" s="76"/>
      <c r="M21" s="76"/>
      <c r="N21" s="76"/>
      <c r="O21" s="76"/>
      <c r="P21" s="76"/>
    </row>
    <row r="22" spans="2:11" ht="12.75" customHeight="1">
      <c r="B22" s="74"/>
      <c r="C22" s="128"/>
      <c r="D22" s="128"/>
      <c r="E22" s="128"/>
      <c r="F22" s="128"/>
      <c r="G22" s="74"/>
      <c r="H22" s="74"/>
      <c r="I22" s="74"/>
      <c r="J22" s="74"/>
      <c r="K22" s="74"/>
    </row>
    <row r="23" spans="2:11" ht="18" customHeight="1">
      <c r="B23" s="74"/>
      <c r="C23" s="128"/>
      <c r="D23" s="128"/>
      <c r="E23" s="128"/>
      <c r="F23" s="128"/>
      <c r="G23" s="74"/>
      <c r="H23" s="74"/>
      <c r="I23" s="74"/>
      <c r="J23" s="74"/>
      <c r="K23" s="74"/>
    </row>
    <row r="24" spans="2:11" ht="98.25" customHeight="1">
      <c r="B24" s="74"/>
      <c r="C24" s="128"/>
      <c r="D24" s="128"/>
      <c r="E24" s="128"/>
      <c r="F24" s="128"/>
      <c r="G24" s="74"/>
      <c r="H24" s="74"/>
      <c r="I24" s="74"/>
      <c r="J24" s="74"/>
      <c r="K24" s="74"/>
    </row>
    <row r="25" spans="2:11" ht="50.25" customHeight="1">
      <c r="B25" s="74"/>
      <c r="C25" s="128"/>
      <c r="D25" s="128"/>
      <c r="E25" s="128"/>
      <c r="F25" s="128"/>
      <c r="G25" s="74"/>
      <c r="H25" s="82"/>
      <c r="I25" s="82"/>
      <c r="J25" s="74"/>
      <c r="K25" s="74"/>
    </row>
    <row r="26" spans="2:11" ht="12.75" customHeight="1">
      <c r="B26" s="74"/>
      <c r="C26" s="74"/>
      <c r="D26" s="128"/>
      <c r="E26" s="128"/>
      <c r="F26" s="128"/>
      <c r="G26" s="128"/>
      <c r="H26" s="128"/>
      <c r="I26" s="74"/>
      <c r="J26" s="74"/>
      <c r="K26" s="74"/>
    </row>
    <row r="27" spans="2:11" ht="15.75" customHeight="1">
      <c r="B27" s="74"/>
      <c r="C27" s="74"/>
      <c r="D27" s="128"/>
      <c r="E27" s="128"/>
      <c r="F27" s="128"/>
      <c r="G27" s="128"/>
      <c r="H27" s="128"/>
      <c r="I27" s="74"/>
      <c r="J27" s="74"/>
      <c r="K27" s="74"/>
    </row>
    <row r="28" spans="2:11" ht="17.25" customHeight="1">
      <c r="B28" s="74"/>
      <c r="C28" s="74"/>
      <c r="D28" s="128"/>
      <c r="E28" s="128"/>
      <c r="F28" s="128"/>
      <c r="G28" s="128"/>
      <c r="H28" s="128"/>
      <c r="I28" s="74"/>
      <c r="J28" s="74"/>
      <c r="K28" s="74"/>
    </row>
    <row r="29" spans="2:11" ht="72" customHeight="1">
      <c r="B29" s="74"/>
      <c r="C29" s="74"/>
      <c r="D29" s="156" t="s">
        <v>3</v>
      </c>
      <c r="E29" s="156"/>
      <c r="F29" s="156"/>
      <c r="G29" s="156"/>
      <c r="H29" s="156"/>
      <c r="I29" s="74"/>
      <c r="J29" s="74"/>
      <c r="K29" s="74"/>
    </row>
  </sheetData>
  <sheetProtection/>
  <mergeCells count="12">
    <mergeCell ref="C13:E13"/>
    <mergeCell ref="C14:E14"/>
    <mergeCell ref="C15:E15"/>
    <mergeCell ref="C11:E11"/>
    <mergeCell ref="H12:I12"/>
    <mergeCell ref="H13:I13"/>
    <mergeCell ref="D29:H29"/>
    <mergeCell ref="C1:J1"/>
    <mergeCell ref="C3:J3"/>
    <mergeCell ref="C2:J2"/>
    <mergeCell ref="D5:H5"/>
    <mergeCell ref="C12:E12"/>
  </mergeCells>
  <hyperlinks>
    <hyperlink ref="F6" location="Inputs!A1" display="Click Here!"/>
    <hyperlink ref="H7" location="'Assumptions and References'!A1" display="Click Here!"/>
  </hyperlinks>
  <printOptions/>
  <pageMargins left="0.7519685039370079" right="0.7519685039370079" top="0.9803149606299214" bottom="0.9803149606299214" header="0.5118110236220472" footer="0.5118110236220472"/>
  <pageSetup fitToHeight="2"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1:J13"/>
  <sheetViews>
    <sheetView zoomScalePageLayoutView="0" workbookViewId="0" topLeftCell="A1">
      <pane ySplit="1" topLeftCell="A2" activePane="bottomLeft" state="frozen"/>
      <selection pane="topLeft" activeCell="A1" sqref="A1"/>
      <selection pane="bottomLeft" activeCell="C6" sqref="C6"/>
    </sheetView>
  </sheetViews>
  <sheetFormatPr defaultColWidth="17.140625" defaultRowHeight="12.75" customHeight="1"/>
  <cols>
    <col min="1" max="1" width="2.8515625" style="73" customWidth="1"/>
    <col min="2" max="2" width="3.28125" style="73" customWidth="1"/>
    <col min="3" max="3" width="43.421875" style="73" customWidth="1"/>
    <col min="4" max="4" width="11.140625" style="73" customWidth="1"/>
    <col min="5" max="9" width="17.140625" style="73" customWidth="1"/>
    <col min="10" max="10" width="3.421875" style="73" customWidth="1"/>
    <col min="11" max="14" width="17.140625" style="73" customWidth="1"/>
    <col min="15" max="16384" width="17.140625" style="73" customWidth="1"/>
  </cols>
  <sheetData>
    <row r="1" spans="2:10" ht="21.75" customHeight="1">
      <c r="B1" s="74"/>
      <c r="C1" s="171" t="s">
        <v>14</v>
      </c>
      <c r="D1" s="171"/>
      <c r="E1" s="171"/>
      <c r="F1" s="171"/>
      <c r="G1" s="171"/>
      <c r="H1" s="171"/>
      <c r="I1" s="171"/>
      <c r="J1" s="74"/>
    </row>
    <row r="2" spans="2:10" ht="21.75" customHeight="1">
      <c r="B2" s="74"/>
      <c r="C2" s="90"/>
      <c r="D2" s="90"/>
      <c r="E2" s="90"/>
      <c r="F2" s="90"/>
      <c r="G2" s="90"/>
      <c r="H2" s="90"/>
      <c r="I2" s="90"/>
      <c r="J2" s="74"/>
    </row>
    <row r="3" spans="2:10" ht="25.5" customHeight="1">
      <c r="B3" s="74"/>
      <c r="C3" s="168" t="s">
        <v>145</v>
      </c>
      <c r="D3" s="169"/>
      <c r="E3" s="169"/>
      <c r="F3" s="169"/>
      <c r="G3" s="169"/>
      <c r="H3" s="169"/>
      <c r="I3" s="170"/>
      <c r="J3" s="74"/>
    </row>
    <row r="4" spans="2:10" ht="25.5" customHeight="1">
      <c r="B4" s="74"/>
      <c r="C4" s="85"/>
      <c r="D4" s="85"/>
      <c r="E4" s="85"/>
      <c r="F4" s="85"/>
      <c r="G4" s="85"/>
      <c r="H4" s="85"/>
      <c r="I4" s="85"/>
      <c r="J4" s="74"/>
    </row>
    <row r="5" spans="2:10" ht="60.75" customHeight="1">
      <c r="B5" s="74"/>
      <c r="C5" s="168" t="s">
        <v>12</v>
      </c>
      <c r="D5" s="169"/>
      <c r="E5" s="169"/>
      <c r="F5" s="169"/>
      <c r="G5" s="169"/>
      <c r="H5" s="169"/>
      <c r="I5" s="170"/>
      <c r="J5" s="74"/>
    </row>
    <row r="6" spans="2:10" ht="13.5" thickBot="1">
      <c r="B6" s="74"/>
      <c r="C6" s="74"/>
      <c r="D6" s="74"/>
      <c r="E6" s="74"/>
      <c r="F6" s="74"/>
      <c r="G6" s="74"/>
      <c r="H6" s="74"/>
      <c r="I6" s="74"/>
      <c r="J6" s="74"/>
    </row>
    <row r="7" spans="2:10" ht="13.5" thickBot="1">
      <c r="B7" s="74"/>
      <c r="C7" s="84"/>
      <c r="D7" s="54" t="s">
        <v>140</v>
      </c>
      <c r="E7" s="54" t="s">
        <v>141</v>
      </c>
      <c r="F7" s="54" t="s">
        <v>142</v>
      </c>
      <c r="G7" s="54" t="s">
        <v>143</v>
      </c>
      <c r="H7" s="54" t="s">
        <v>144</v>
      </c>
      <c r="I7" s="54" t="s">
        <v>33</v>
      </c>
      <c r="J7" s="74"/>
    </row>
    <row r="8" spans="2:10" ht="26.25" thickBot="1">
      <c r="B8" s="74"/>
      <c r="C8" s="88" t="s">
        <v>149</v>
      </c>
      <c r="D8" s="67">
        <v>144</v>
      </c>
      <c r="E8" s="55">
        <f aca="true" t="shared" si="0" ref="E8:I11">D8</f>
        <v>144</v>
      </c>
      <c r="F8" s="55">
        <f t="shared" si="0"/>
        <v>144</v>
      </c>
      <c r="G8" s="55">
        <f t="shared" si="0"/>
        <v>144</v>
      </c>
      <c r="H8" s="55">
        <f t="shared" si="0"/>
        <v>144</v>
      </c>
      <c r="I8" s="55">
        <f t="shared" si="0"/>
        <v>144</v>
      </c>
      <c r="J8" s="74"/>
    </row>
    <row r="9" spans="2:10" ht="13.5" thickBot="1">
      <c r="B9" s="74"/>
      <c r="C9" s="88" t="s">
        <v>148</v>
      </c>
      <c r="D9" s="68">
        <v>0.2</v>
      </c>
      <c r="E9" s="55">
        <f t="shared" si="0"/>
        <v>0.2</v>
      </c>
      <c r="F9" s="55">
        <f t="shared" si="0"/>
        <v>0.2</v>
      </c>
      <c r="G9" s="55">
        <f t="shared" si="0"/>
        <v>0.2</v>
      </c>
      <c r="H9" s="55">
        <f t="shared" si="0"/>
        <v>0.2</v>
      </c>
      <c r="I9" s="55">
        <f t="shared" si="0"/>
        <v>0.2</v>
      </c>
      <c r="J9" s="74"/>
    </row>
    <row r="10" spans="2:10" ht="13.5" thickBot="1">
      <c r="B10" s="74"/>
      <c r="C10" s="88" t="s">
        <v>147</v>
      </c>
      <c r="D10" s="68">
        <v>60</v>
      </c>
      <c r="E10" s="55">
        <f t="shared" si="0"/>
        <v>60</v>
      </c>
      <c r="F10" s="55">
        <f t="shared" si="0"/>
        <v>60</v>
      </c>
      <c r="G10" s="55">
        <f t="shared" si="0"/>
        <v>60</v>
      </c>
      <c r="H10" s="55">
        <f t="shared" si="0"/>
        <v>60</v>
      </c>
      <c r="I10" s="55">
        <f t="shared" si="0"/>
        <v>60</v>
      </c>
      <c r="J10" s="74"/>
    </row>
    <row r="11" spans="2:10" ht="13.5" thickBot="1">
      <c r="B11" s="74"/>
      <c r="C11" s="89" t="s">
        <v>146</v>
      </c>
      <c r="D11" s="68">
        <v>8</v>
      </c>
      <c r="E11" s="55">
        <f t="shared" si="0"/>
        <v>8</v>
      </c>
      <c r="F11" s="55">
        <f t="shared" si="0"/>
        <v>8</v>
      </c>
      <c r="G11" s="55">
        <f t="shared" si="0"/>
        <v>8</v>
      </c>
      <c r="H11" s="55">
        <f t="shared" si="0"/>
        <v>8</v>
      </c>
      <c r="I11" s="55">
        <f t="shared" si="0"/>
        <v>8</v>
      </c>
      <c r="J11" s="74"/>
    </row>
    <row r="12" spans="2:10" ht="12.75" customHeight="1">
      <c r="B12" s="74"/>
      <c r="C12" s="74"/>
      <c r="D12" s="74"/>
      <c r="E12" s="74"/>
      <c r="F12" s="74"/>
      <c r="G12" s="74"/>
      <c r="H12" s="74"/>
      <c r="I12" s="74"/>
      <c r="J12" s="74"/>
    </row>
    <row r="13" spans="2:10" ht="12.75" customHeight="1">
      <c r="B13" s="74"/>
      <c r="C13" s="74"/>
      <c r="D13" s="74"/>
      <c r="E13" s="74"/>
      <c r="F13" s="74"/>
      <c r="G13" s="74"/>
      <c r="H13" s="74"/>
      <c r="I13" s="74"/>
      <c r="J13" s="74"/>
    </row>
  </sheetData>
  <sheetProtection/>
  <mergeCells count="3">
    <mergeCell ref="C5:I5"/>
    <mergeCell ref="C3:I3"/>
    <mergeCell ref="C1:I1"/>
  </mergeCells>
  <printOptions/>
  <pageMargins left="0.7519685039370079" right="0.7519685039370079" top="1" bottom="1" header="0.5" footer="0.5"/>
  <pageSetup fitToHeight="1" fitToWidth="1" horizontalDpi="300" verticalDpi="300" orientation="landscape" paperSize="9" scale="8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J54"/>
  <sheetViews>
    <sheetView zoomScalePageLayoutView="0" workbookViewId="0" topLeftCell="A1">
      <pane ySplit="1" topLeftCell="A14" activePane="bottomLeft" state="frozen"/>
      <selection pane="topLeft" activeCell="E41" sqref="E41"/>
      <selection pane="bottomLeft" activeCell="C48" sqref="C48:I52"/>
    </sheetView>
  </sheetViews>
  <sheetFormatPr defaultColWidth="17.140625" defaultRowHeight="12.75" customHeight="1"/>
  <cols>
    <col min="1" max="1" width="2.8515625" style="73" customWidth="1"/>
    <col min="2" max="2" width="5.7109375" style="73" customWidth="1"/>
    <col min="3" max="4" width="17.140625" style="73" customWidth="1"/>
    <col min="5" max="5" width="20.140625" style="73" customWidth="1"/>
    <col min="6" max="6" width="18.00390625" style="73" customWidth="1"/>
    <col min="7" max="9" width="17.140625" style="73" customWidth="1"/>
    <col min="10" max="10" width="5.140625" style="73" customWidth="1"/>
    <col min="11" max="20" width="17.140625" style="73" customWidth="1"/>
    <col min="21" max="16384" width="17.140625" style="73" customWidth="1"/>
  </cols>
  <sheetData>
    <row r="1" spans="2:10" ht="21" customHeight="1">
      <c r="B1" s="74"/>
      <c r="C1" s="181" t="s">
        <v>13</v>
      </c>
      <c r="D1" s="181"/>
      <c r="E1" s="181"/>
      <c r="F1" s="181"/>
      <c r="G1" s="181"/>
      <c r="H1" s="181"/>
      <c r="I1" s="181"/>
      <c r="J1" s="74"/>
    </row>
    <row r="2" spans="2:10" ht="21" customHeight="1">
      <c r="B2" s="74"/>
      <c r="C2" s="91"/>
      <c r="D2" s="91"/>
      <c r="E2" s="91"/>
      <c r="F2" s="91"/>
      <c r="G2" s="91"/>
      <c r="H2" s="91"/>
      <c r="I2" s="91"/>
      <c r="J2" s="74"/>
    </row>
    <row r="3" spans="2:10" ht="12.75" customHeight="1">
      <c r="B3" s="74"/>
      <c r="C3" s="92"/>
      <c r="D3" s="74"/>
      <c r="E3" s="161" t="s">
        <v>20</v>
      </c>
      <c r="F3" s="161"/>
      <c r="G3" s="161"/>
      <c r="H3" s="74"/>
      <c r="I3" s="74"/>
      <c r="J3" s="74"/>
    </row>
    <row r="4" spans="2:10" ht="12.75" customHeight="1">
      <c r="B4" s="74"/>
      <c r="C4" s="172" t="s">
        <v>9</v>
      </c>
      <c r="D4" s="173"/>
      <c r="E4" s="173"/>
      <c r="F4" s="173"/>
      <c r="G4" s="173"/>
      <c r="H4" s="173"/>
      <c r="I4" s="174"/>
      <c r="J4" s="74"/>
    </row>
    <row r="5" spans="2:10" ht="12.75" customHeight="1">
      <c r="B5" s="74"/>
      <c r="C5" s="175"/>
      <c r="D5" s="176"/>
      <c r="E5" s="176"/>
      <c r="F5" s="176"/>
      <c r="G5" s="176"/>
      <c r="H5" s="176"/>
      <c r="I5" s="177"/>
      <c r="J5" s="74"/>
    </row>
    <row r="6" spans="2:10" ht="12.75" customHeight="1">
      <c r="B6" s="74"/>
      <c r="C6" s="175"/>
      <c r="D6" s="176"/>
      <c r="E6" s="176"/>
      <c r="F6" s="176"/>
      <c r="G6" s="176"/>
      <c r="H6" s="176"/>
      <c r="I6" s="177"/>
      <c r="J6" s="74"/>
    </row>
    <row r="7" spans="2:10" ht="12.75" customHeight="1">
      <c r="B7" s="74"/>
      <c r="C7" s="175"/>
      <c r="D7" s="176"/>
      <c r="E7" s="176"/>
      <c r="F7" s="176"/>
      <c r="G7" s="176"/>
      <c r="H7" s="176"/>
      <c r="I7" s="177"/>
      <c r="J7" s="74"/>
    </row>
    <row r="8" spans="2:10" ht="12.75" customHeight="1">
      <c r="B8" s="74"/>
      <c r="C8" s="178"/>
      <c r="D8" s="179"/>
      <c r="E8" s="179"/>
      <c r="F8" s="179"/>
      <c r="G8" s="179"/>
      <c r="H8" s="179"/>
      <c r="I8" s="180"/>
      <c r="J8" s="74"/>
    </row>
    <row r="9" spans="2:10" ht="12.75" customHeight="1">
      <c r="B9" s="74"/>
      <c r="C9" s="74"/>
      <c r="D9" s="74"/>
      <c r="E9" s="74"/>
      <c r="F9" s="74"/>
      <c r="G9" s="74"/>
      <c r="H9" s="74"/>
      <c r="I9" s="74"/>
      <c r="J9" s="74"/>
    </row>
    <row r="10" spans="2:10" ht="12.75" customHeight="1">
      <c r="B10" s="74"/>
      <c r="C10" s="191" t="s">
        <v>16</v>
      </c>
      <c r="D10" s="191"/>
      <c r="E10" s="191"/>
      <c r="F10" s="191"/>
      <c r="G10" s="191"/>
      <c r="H10" s="191"/>
      <c r="I10" s="191"/>
      <c r="J10" s="74"/>
    </row>
    <row r="11" spans="2:10" ht="12.75" customHeight="1">
      <c r="B11" s="74"/>
      <c r="C11" s="182" t="str">
        <f>"Your company currently has "&amp;TEXT(no_machines,"###")&amp;" non-virtualized server machines. If you impliment server virtualization with a consolidation ratio of "&amp;TEXT(Inputs!D11,"##")&amp;", you will save a total of "&amp;TEXT('Projected Savings'!I28,"$###,###")&amp;" over 5 years with an IRR of "&amp;TEXT('Projected Savings'!F31,"##%")&amp;". You will also save "&amp;TEXT(I22,"###,###")&amp;" kg of CO2. It will cost an initial investment of "&amp;TEXT('Projected Savings'!D23,"$###,###")&amp;" and be paid off after "&amp;TEXT('Projected Savings'!F32,"#.#0")&amp;" years. For more savings, visit our Projected Savings Tab."</f>
        <v>Your company currently has 144 non-virtualized server machines. If you impliment server virtualization with a consolidation ratio of 8, you will save a total of $2,226,871 over 5 years with an IRR of 115%. You will also save 2,570,381 kg of CO2. It will cost an initial investment of $470,880 and be paid off after .85 years. For more savings, visit our Projected Savings Tab.</v>
      </c>
      <c r="D11" s="183"/>
      <c r="E11" s="183"/>
      <c r="F11" s="183"/>
      <c r="G11" s="183"/>
      <c r="H11" s="183"/>
      <c r="I11" s="184"/>
      <c r="J11" s="74"/>
    </row>
    <row r="12" spans="2:10" ht="12.75" customHeight="1">
      <c r="B12" s="74"/>
      <c r="C12" s="185"/>
      <c r="D12" s="186"/>
      <c r="E12" s="186"/>
      <c r="F12" s="186"/>
      <c r="G12" s="186"/>
      <c r="H12" s="186"/>
      <c r="I12" s="187"/>
      <c r="J12" s="74"/>
    </row>
    <row r="13" spans="2:10" ht="12.75" customHeight="1">
      <c r="B13" s="74"/>
      <c r="C13" s="185"/>
      <c r="D13" s="186"/>
      <c r="E13" s="186"/>
      <c r="F13" s="186"/>
      <c r="G13" s="186"/>
      <c r="H13" s="186"/>
      <c r="I13" s="187"/>
      <c r="J13" s="74"/>
    </row>
    <row r="14" spans="2:10" ht="12.75" customHeight="1">
      <c r="B14" s="74"/>
      <c r="C14" s="188"/>
      <c r="D14" s="189"/>
      <c r="E14" s="189"/>
      <c r="F14" s="189"/>
      <c r="G14" s="189"/>
      <c r="H14" s="189"/>
      <c r="I14" s="190"/>
      <c r="J14" s="74"/>
    </row>
    <row r="15" spans="2:10" ht="12.75" customHeight="1">
      <c r="B15" s="74"/>
      <c r="C15" s="193" t="s">
        <v>23</v>
      </c>
      <c r="D15" s="193"/>
      <c r="E15" s="93" t="s">
        <v>22</v>
      </c>
      <c r="F15" s="74"/>
      <c r="G15" s="94"/>
      <c r="H15" s="94"/>
      <c r="I15" s="94"/>
      <c r="J15" s="74"/>
    </row>
    <row r="16" spans="2:10" ht="12.75" customHeight="1">
      <c r="B16" s="74"/>
      <c r="C16" s="74"/>
      <c r="D16" s="74"/>
      <c r="E16" s="74"/>
      <c r="F16" s="74"/>
      <c r="G16" s="74"/>
      <c r="H16" s="74"/>
      <c r="I16" s="74"/>
      <c r="J16" s="74"/>
    </row>
    <row r="17" spans="2:10" ht="12.75" customHeight="1" thickBot="1">
      <c r="B17" s="74"/>
      <c r="C17" s="95"/>
      <c r="D17" s="95"/>
      <c r="E17" s="192" t="s">
        <v>21</v>
      </c>
      <c r="F17" s="192"/>
      <c r="G17" s="192"/>
      <c r="H17" s="74"/>
      <c r="I17" s="74"/>
      <c r="J17" s="74"/>
    </row>
    <row r="18" spans="2:10" ht="12.75" customHeight="1" thickBot="1" thickTop="1">
      <c r="B18" s="74"/>
      <c r="C18" s="84"/>
      <c r="D18" s="83" t="s">
        <v>140</v>
      </c>
      <c r="E18" s="83" t="s">
        <v>141</v>
      </c>
      <c r="F18" s="83" t="s">
        <v>142</v>
      </c>
      <c r="G18" s="83" t="s">
        <v>143</v>
      </c>
      <c r="H18" s="83" t="s">
        <v>144</v>
      </c>
      <c r="I18" s="83" t="s">
        <v>33</v>
      </c>
      <c r="J18" s="74"/>
    </row>
    <row r="19" spans="2:10" ht="27" thickBot="1" thickTop="1">
      <c r="B19" s="74"/>
      <c r="C19" s="83" t="s">
        <v>10</v>
      </c>
      <c r="D19" s="96">
        <f>'Projected Savings'!D23</f>
        <v>470880</v>
      </c>
      <c r="E19" s="96">
        <f>'Projected Savings'!E23</f>
        <v>294206.09913</v>
      </c>
      <c r="F19" s="96">
        <f>'Projected Savings'!F23</f>
        <v>294206.09913</v>
      </c>
      <c r="G19" s="96">
        <f>'Projected Savings'!G23</f>
        <v>294206.09913</v>
      </c>
      <c r="H19" s="96">
        <f>'Projected Savings'!H23</f>
        <v>294206.09913</v>
      </c>
      <c r="I19" s="96">
        <f>'Projected Savings'!I23</f>
        <v>294206.09913</v>
      </c>
      <c r="J19" s="74"/>
    </row>
    <row r="20" spans="2:10" ht="27" thickBot="1" thickTop="1">
      <c r="B20" s="74"/>
      <c r="C20" s="83" t="s">
        <v>71</v>
      </c>
      <c r="D20" s="96">
        <f>'Projected Savings'!D25</f>
        <v>-470880</v>
      </c>
      <c r="E20" s="96">
        <f>'Projected Savings'!E25</f>
        <v>82823.35791000002</v>
      </c>
      <c r="F20" s="96">
        <f>'Projected Savings'!F25</f>
        <v>636526.71582</v>
      </c>
      <c r="G20" s="96">
        <f>'Projected Savings'!G25</f>
        <v>1190230.07373</v>
      </c>
      <c r="H20" s="96">
        <f>'Projected Savings'!H25</f>
        <v>1743933.43164</v>
      </c>
      <c r="I20" s="96">
        <f>'Projected Savings'!I25</f>
        <v>2297636.78955</v>
      </c>
      <c r="J20" s="74"/>
    </row>
    <row r="21" spans="2:10" ht="28.5" thickBot="1" thickTop="1">
      <c r="B21" s="74"/>
      <c r="C21" s="83" t="s">
        <v>17</v>
      </c>
      <c r="D21" s="97" t="str">
        <f>'Projected Savings'!D46</f>
        <v>N/A</v>
      </c>
      <c r="E21" s="97">
        <f>'Projected Savings'!E46</f>
        <v>514076.21999999986</v>
      </c>
      <c r="F21" s="97">
        <f>'Projected Savings'!F46</f>
        <v>514076.21999999986</v>
      </c>
      <c r="G21" s="97">
        <f>'Projected Savings'!G46</f>
        <v>514076.21999999986</v>
      </c>
      <c r="H21" s="97">
        <f>'Projected Savings'!H46</f>
        <v>514076.21999999986</v>
      </c>
      <c r="I21" s="97">
        <f>'Projected Savings'!I46</f>
        <v>514076.21999999986</v>
      </c>
      <c r="J21" s="74"/>
    </row>
    <row r="22" spans="2:10" ht="30.75" customHeight="1" thickBot="1" thickTop="1">
      <c r="B22" s="74"/>
      <c r="C22" s="83" t="s">
        <v>18</v>
      </c>
      <c r="D22" s="97" t="str">
        <f>'Projected Savings'!D46</f>
        <v>N/A</v>
      </c>
      <c r="E22" s="97">
        <f>'Projected Savings'!E46</f>
        <v>514076.21999999986</v>
      </c>
      <c r="F22" s="97">
        <f>'Projected Savings'!E46+'Projected Savings'!F46</f>
        <v>1028152.4399999997</v>
      </c>
      <c r="G22" s="97">
        <f>'Projected Savings'!G46+'Projected Savings'!F46+'Projected Savings'!E46</f>
        <v>1542228.6599999997</v>
      </c>
      <c r="H22" s="97">
        <f>'Projected Savings'!G46+'Projected Savings'!F46+'Projected Savings'!E46+'Projected Savings'!F46</f>
        <v>2056304.8799999994</v>
      </c>
      <c r="I22" s="97">
        <f>'Projected Savings'!G46+'Projected Savings'!F46+'Projected Savings'!E46+'Projected Savings'!F46+'Projected Savings'!G46</f>
        <v>2570381.099999999</v>
      </c>
      <c r="J22" s="74"/>
    </row>
    <row r="23" spans="2:10" ht="12.75" customHeight="1" thickBot="1" thickTop="1">
      <c r="B23" s="74"/>
      <c r="C23" s="74"/>
      <c r="D23" s="74"/>
      <c r="E23" s="74"/>
      <c r="F23" s="74"/>
      <c r="G23" s="74"/>
      <c r="H23" s="74"/>
      <c r="I23" s="74"/>
      <c r="J23" s="74"/>
    </row>
    <row r="24" spans="2:10" ht="12.75" customHeight="1" thickBot="1">
      <c r="B24" s="74"/>
      <c r="C24" s="101" t="s">
        <v>19</v>
      </c>
      <c r="D24" s="101" t="s">
        <v>115</v>
      </c>
      <c r="E24" s="74"/>
      <c r="F24" s="74"/>
      <c r="G24" s="74"/>
      <c r="H24" s="74"/>
      <c r="I24" s="74"/>
      <c r="J24" s="74"/>
    </row>
    <row r="25" spans="2:10" ht="12.75" customHeight="1" thickBot="1">
      <c r="B25" s="74"/>
      <c r="C25" s="102">
        <f>'Projected Savings'!F32</f>
        <v>0.850419260192635</v>
      </c>
      <c r="D25" s="103">
        <f>'Projected Savings'!F31</f>
        <v>1.1503130625816154</v>
      </c>
      <c r="E25" s="74"/>
      <c r="F25" s="74"/>
      <c r="G25" s="74"/>
      <c r="H25" s="74"/>
      <c r="I25" s="74"/>
      <c r="J25" s="74"/>
    </row>
    <row r="26" spans="2:10" ht="12.75" customHeight="1">
      <c r="B26" s="74"/>
      <c r="C26" s="74"/>
      <c r="D26" s="74"/>
      <c r="E26" s="74"/>
      <c r="F26" s="74"/>
      <c r="G26" s="74"/>
      <c r="H26" s="74"/>
      <c r="I26" s="74"/>
      <c r="J26" s="74"/>
    </row>
    <row r="27" spans="2:10" ht="12.75" customHeight="1">
      <c r="B27" s="74"/>
      <c r="C27" s="74"/>
      <c r="D27" s="74"/>
      <c r="E27" s="74"/>
      <c r="F27" s="74"/>
      <c r="G27" s="74"/>
      <c r="H27" s="74"/>
      <c r="I27" s="74"/>
      <c r="J27" s="74"/>
    </row>
    <row r="28" spans="2:10" ht="12.75" customHeight="1">
      <c r="B28" s="74"/>
      <c r="C28" s="74"/>
      <c r="D28" s="74"/>
      <c r="E28" s="74"/>
      <c r="F28" s="74"/>
      <c r="G28" s="74"/>
      <c r="H28" s="74"/>
      <c r="I28" s="74"/>
      <c r="J28" s="74"/>
    </row>
    <row r="29" spans="2:10" ht="12.75" customHeight="1">
      <c r="B29" s="74"/>
      <c r="C29" s="74"/>
      <c r="D29" s="74"/>
      <c r="E29" s="74"/>
      <c r="F29" s="74"/>
      <c r="G29" s="74"/>
      <c r="H29" s="74"/>
      <c r="I29" s="74"/>
      <c r="J29" s="74"/>
    </row>
    <row r="30" spans="2:10" ht="12.75" customHeight="1">
      <c r="B30" s="74"/>
      <c r="C30" s="74"/>
      <c r="D30" s="74"/>
      <c r="E30" s="74"/>
      <c r="F30" s="74"/>
      <c r="G30" s="74"/>
      <c r="H30" s="74"/>
      <c r="I30" s="74"/>
      <c r="J30" s="74"/>
    </row>
    <row r="31" spans="2:10" ht="12.75" customHeight="1">
      <c r="B31" s="74"/>
      <c r="C31" s="74"/>
      <c r="D31" s="74"/>
      <c r="E31" s="74"/>
      <c r="F31" s="74"/>
      <c r="G31" s="74"/>
      <c r="H31" s="74"/>
      <c r="I31" s="74"/>
      <c r="J31" s="74"/>
    </row>
    <row r="32" spans="2:10" ht="12.75" customHeight="1">
      <c r="B32" s="74"/>
      <c r="C32" s="74"/>
      <c r="D32" s="74"/>
      <c r="E32" s="74"/>
      <c r="F32" s="74"/>
      <c r="G32" s="74"/>
      <c r="H32" s="74"/>
      <c r="I32" s="74"/>
      <c r="J32" s="74"/>
    </row>
    <row r="33" spans="2:10" ht="12.75" customHeight="1">
      <c r="B33" s="74"/>
      <c r="C33" s="74"/>
      <c r="D33" s="74"/>
      <c r="E33" s="74"/>
      <c r="F33" s="74"/>
      <c r="G33" s="74"/>
      <c r="H33" s="74"/>
      <c r="I33" s="74"/>
      <c r="J33" s="74"/>
    </row>
    <row r="34" spans="2:10" ht="12.75" customHeight="1">
      <c r="B34" s="74"/>
      <c r="C34" s="74"/>
      <c r="D34" s="74"/>
      <c r="E34" s="74"/>
      <c r="F34" s="74"/>
      <c r="G34" s="74"/>
      <c r="H34" s="74"/>
      <c r="I34" s="74"/>
      <c r="J34" s="74"/>
    </row>
    <row r="35" spans="2:10" ht="12.75" customHeight="1">
      <c r="B35" s="74"/>
      <c r="C35" s="74"/>
      <c r="D35" s="74"/>
      <c r="E35" s="74"/>
      <c r="F35" s="74"/>
      <c r="G35" s="74"/>
      <c r="H35" s="74"/>
      <c r="I35" s="74"/>
      <c r="J35" s="74"/>
    </row>
    <row r="36" spans="2:10" ht="12.75" customHeight="1">
      <c r="B36" s="74"/>
      <c r="C36" s="74"/>
      <c r="D36" s="74"/>
      <c r="E36" s="74"/>
      <c r="F36" s="74"/>
      <c r="G36" s="74"/>
      <c r="H36" s="74"/>
      <c r="I36" s="74"/>
      <c r="J36" s="74"/>
    </row>
    <row r="37" spans="2:10" ht="12.75" customHeight="1">
      <c r="B37" s="74"/>
      <c r="C37" s="74"/>
      <c r="D37" s="74"/>
      <c r="E37" s="74"/>
      <c r="F37" s="74"/>
      <c r="G37" s="74"/>
      <c r="H37" s="74"/>
      <c r="I37" s="74"/>
      <c r="J37" s="74"/>
    </row>
    <row r="38" spans="2:10" ht="12.75" customHeight="1">
      <c r="B38" s="74"/>
      <c r="C38" s="74"/>
      <c r="D38" s="74"/>
      <c r="E38" s="74"/>
      <c r="F38" s="74"/>
      <c r="G38" s="74"/>
      <c r="H38" s="74"/>
      <c r="I38" s="74"/>
      <c r="J38" s="74"/>
    </row>
    <row r="39" spans="2:10" ht="12.75" customHeight="1">
      <c r="B39" s="74"/>
      <c r="C39" s="74"/>
      <c r="D39" s="74"/>
      <c r="E39" s="74"/>
      <c r="F39" s="74"/>
      <c r="G39" s="74"/>
      <c r="H39" s="74"/>
      <c r="I39" s="74"/>
      <c r="J39" s="74"/>
    </row>
    <row r="40" spans="2:10" ht="12.75" customHeight="1">
      <c r="B40" s="74"/>
      <c r="C40" s="74"/>
      <c r="D40" s="74"/>
      <c r="E40" s="74"/>
      <c r="F40" s="74"/>
      <c r="G40" s="74"/>
      <c r="H40" s="74"/>
      <c r="I40" s="74"/>
      <c r="J40" s="74"/>
    </row>
    <row r="41" spans="2:10" ht="12.75" customHeight="1">
      <c r="B41" s="74"/>
      <c r="C41" s="74"/>
      <c r="D41" s="74"/>
      <c r="E41" s="74"/>
      <c r="F41" s="74"/>
      <c r="G41" s="74"/>
      <c r="H41" s="74"/>
      <c r="I41" s="74"/>
      <c r="J41" s="74"/>
    </row>
    <row r="42" spans="2:10" ht="12.75" customHeight="1">
      <c r="B42" s="74"/>
      <c r="C42" s="74"/>
      <c r="D42" s="74"/>
      <c r="E42" s="74"/>
      <c r="F42" s="74"/>
      <c r="G42" s="74"/>
      <c r="H42" s="74"/>
      <c r="I42" s="74"/>
      <c r="J42" s="74"/>
    </row>
    <row r="43" spans="2:10" ht="12.75" customHeight="1">
      <c r="B43" s="74"/>
      <c r="C43" s="74"/>
      <c r="D43" s="74"/>
      <c r="E43" s="74"/>
      <c r="F43" s="74"/>
      <c r="G43" s="74"/>
      <c r="H43" s="74"/>
      <c r="I43" s="74"/>
      <c r="J43" s="74"/>
    </row>
    <row r="44" spans="2:10" ht="12.75" customHeight="1">
      <c r="B44" s="74"/>
      <c r="C44" s="74"/>
      <c r="D44" s="74"/>
      <c r="E44" s="74"/>
      <c r="F44" s="74"/>
      <c r="G44" s="74"/>
      <c r="H44" s="74"/>
      <c r="I44" s="74"/>
      <c r="J44" s="74"/>
    </row>
    <row r="45" spans="2:10" ht="12.75" customHeight="1">
      <c r="B45" s="74"/>
      <c r="C45" s="74"/>
      <c r="D45" s="74"/>
      <c r="E45" s="74"/>
      <c r="F45" s="74"/>
      <c r="G45" s="74"/>
      <c r="H45" s="74"/>
      <c r="I45" s="74"/>
      <c r="J45" s="74"/>
    </row>
    <row r="46" spans="2:10" ht="12.75" customHeight="1">
      <c r="B46" s="74"/>
      <c r="C46" s="74"/>
      <c r="D46" s="74"/>
      <c r="E46" s="74"/>
      <c r="F46" s="74"/>
      <c r="G46" s="74"/>
      <c r="H46" s="74"/>
      <c r="I46" s="74"/>
      <c r="J46" s="74"/>
    </row>
    <row r="47" spans="2:10" ht="12.75" customHeight="1">
      <c r="B47" s="74"/>
      <c r="C47" s="74"/>
      <c r="D47" s="74"/>
      <c r="E47" s="161" t="s">
        <v>24</v>
      </c>
      <c r="F47" s="161"/>
      <c r="G47" s="161"/>
      <c r="H47" s="74"/>
      <c r="I47" s="74"/>
      <c r="J47" s="74"/>
    </row>
    <row r="48" spans="2:10" ht="12.75" customHeight="1">
      <c r="B48" s="74"/>
      <c r="C48" s="172" t="s">
        <v>0</v>
      </c>
      <c r="D48" s="173"/>
      <c r="E48" s="173"/>
      <c r="F48" s="173"/>
      <c r="G48" s="173"/>
      <c r="H48" s="173"/>
      <c r="I48" s="174"/>
      <c r="J48" s="74"/>
    </row>
    <row r="49" spans="2:10" ht="12.75" customHeight="1">
      <c r="B49" s="74"/>
      <c r="C49" s="175"/>
      <c r="D49" s="176"/>
      <c r="E49" s="176"/>
      <c r="F49" s="176"/>
      <c r="G49" s="176"/>
      <c r="H49" s="176"/>
      <c r="I49" s="177"/>
      <c r="J49" s="74"/>
    </row>
    <row r="50" spans="2:10" ht="12.75" customHeight="1">
      <c r="B50" s="74"/>
      <c r="C50" s="175"/>
      <c r="D50" s="176"/>
      <c r="E50" s="176"/>
      <c r="F50" s="176"/>
      <c r="G50" s="176"/>
      <c r="H50" s="176"/>
      <c r="I50" s="177"/>
      <c r="J50" s="74"/>
    </row>
    <row r="51" spans="2:10" ht="12.75" customHeight="1">
      <c r="B51" s="74"/>
      <c r="C51" s="175"/>
      <c r="D51" s="176"/>
      <c r="E51" s="176"/>
      <c r="F51" s="176"/>
      <c r="G51" s="176"/>
      <c r="H51" s="176"/>
      <c r="I51" s="177"/>
      <c r="J51" s="74"/>
    </row>
    <row r="52" spans="2:10" ht="12.75" customHeight="1">
      <c r="B52" s="74"/>
      <c r="C52" s="178"/>
      <c r="D52" s="179"/>
      <c r="E52" s="179"/>
      <c r="F52" s="179"/>
      <c r="G52" s="179"/>
      <c r="H52" s="179"/>
      <c r="I52" s="180"/>
      <c r="J52" s="74"/>
    </row>
    <row r="53" spans="2:10" ht="12.75" customHeight="1">
      <c r="B53" s="74"/>
      <c r="C53" s="74"/>
      <c r="D53" s="74"/>
      <c r="E53" s="74"/>
      <c r="F53" s="74"/>
      <c r="G53" s="74"/>
      <c r="H53" s="74"/>
      <c r="I53" s="74"/>
      <c r="J53" s="74"/>
    </row>
    <row r="54" spans="2:10" ht="12.75" customHeight="1">
      <c r="B54" s="74"/>
      <c r="C54" s="74"/>
      <c r="D54" s="74"/>
      <c r="E54" s="74"/>
      <c r="F54" s="74"/>
      <c r="G54" s="74"/>
      <c r="H54" s="74"/>
      <c r="I54" s="74"/>
      <c r="J54" s="74"/>
    </row>
  </sheetData>
  <sheetProtection/>
  <mergeCells count="9">
    <mergeCell ref="C48:I52"/>
    <mergeCell ref="E47:G47"/>
    <mergeCell ref="C4:I8"/>
    <mergeCell ref="C1:I1"/>
    <mergeCell ref="C11:I14"/>
    <mergeCell ref="C10:I10"/>
    <mergeCell ref="E3:G3"/>
    <mergeCell ref="E17:G17"/>
    <mergeCell ref="C15:D15"/>
  </mergeCells>
  <hyperlinks>
    <hyperlink ref="E15" location="'Projected Savings'!A1" display="Projected Savings Tab"/>
  </hyperlinks>
  <printOptions/>
  <pageMargins left="0.7519685039370079" right="0.7519685039370079" top="1" bottom="1" header="0.5" footer="0.5"/>
  <pageSetup fitToHeight="2" fitToWidth="1" horizontalDpi="300" verticalDpi="300" orientation="landscape" paperSize="9" scale="91"/>
  <drawing r:id="rId1"/>
</worksheet>
</file>

<file path=xl/worksheets/sheet4.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pane ySplit="1" topLeftCell="A17" activePane="bottomLeft" state="frozen"/>
      <selection pane="topLeft" activeCell="E41" sqref="E41"/>
      <selection pane="bottomLeft" activeCell="C24" sqref="C24"/>
    </sheetView>
  </sheetViews>
  <sheetFormatPr defaultColWidth="17.140625" defaultRowHeight="12.75" customHeight="1"/>
  <cols>
    <col min="1" max="1" width="11.8515625" style="73" customWidth="1"/>
    <col min="2" max="2" width="4.8515625" style="73" customWidth="1"/>
    <col min="3" max="3" width="48.421875" style="73" customWidth="1"/>
    <col min="4" max="5" width="12.28125" style="73" bestFit="1" customWidth="1"/>
    <col min="6" max="6" width="11.7109375" style="73" bestFit="1" customWidth="1"/>
    <col min="7" max="9" width="13.140625" style="73" bestFit="1" customWidth="1"/>
    <col min="10" max="10" width="6.00390625" style="73" customWidth="1"/>
    <col min="11" max="20" width="17.140625" style="73" customWidth="1"/>
    <col min="21" max="16384" width="17.140625" style="73" customWidth="1"/>
  </cols>
  <sheetData>
    <row r="1" spans="1:9" ht="20.25" customHeight="1">
      <c r="A1" s="90"/>
      <c r="B1" s="90"/>
      <c r="C1" s="181" t="s">
        <v>8</v>
      </c>
      <c r="D1" s="181"/>
      <c r="E1" s="181"/>
      <c r="F1" s="181"/>
      <c r="G1" s="181"/>
      <c r="H1" s="181"/>
      <c r="I1" s="181"/>
    </row>
    <row r="2" ht="13.5" thickBot="1"/>
    <row r="3" spans="1:9" ht="12.75" customHeight="1" thickBot="1">
      <c r="A3" s="197" t="s">
        <v>38</v>
      </c>
      <c r="C3" s="77"/>
      <c r="D3" s="1" t="s">
        <v>140</v>
      </c>
      <c r="E3" s="1" t="s">
        <v>141</v>
      </c>
      <c r="F3" s="1" t="s">
        <v>142</v>
      </c>
      <c r="G3" s="1" t="s">
        <v>143</v>
      </c>
      <c r="H3" s="1" t="s">
        <v>144</v>
      </c>
      <c r="I3" s="1" t="s">
        <v>33</v>
      </c>
    </row>
    <row r="4" spans="1:9" ht="18.75" thickBot="1">
      <c r="A4" s="198"/>
      <c r="C4" s="106" t="s">
        <v>54</v>
      </c>
      <c r="D4" s="10"/>
      <c r="E4" s="10"/>
      <c r="F4" s="10"/>
      <c r="G4" s="10"/>
      <c r="H4" s="10"/>
      <c r="I4" s="10"/>
    </row>
    <row r="5" spans="1:9" ht="12.75">
      <c r="A5" s="198"/>
      <c r="C5" s="107" t="s">
        <v>55</v>
      </c>
      <c r="D5" s="105"/>
      <c r="E5" s="33">
        <f>('Assumptions and References'!$C$6+('Assumptions and References'!$C$7*'Assumptions and References'!$C$21))*Inputs!D8</f>
        <v>334597.93704000005</v>
      </c>
      <c r="F5" s="33">
        <f>('Assumptions and References'!$C$6+('Assumptions and References'!$C$7*'Assumptions and References'!$C$21))*Inputs!E8</f>
        <v>334597.93704000005</v>
      </c>
      <c r="G5" s="33">
        <f>('Assumptions and References'!$C$6+('Assumptions and References'!$C$7*'Assumptions and References'!$C$21))*Inputs!F8</f>
        <v>334597.93704000005</v>
      </c>
      <c r="H5" s="33">
        <f>('Assumptions and References'!$C$6+('Assumptions and References'!$C$7*'Assumptions and References'!$C$21))*Inputs!G8</f>
        <v>334597.93704000005</v>
      </c>
      <c r="I5" s="33">
        <f>('Assumptions and References'!$C$6+('Assumptions and References'!$C$7*'Assumptions and References'!$C$21))*Inputs!H8</f>
        <v>334597.93704000005</v>
      </c>
    </row>
    <row r="6" spans="1:9" ht="12.75">
      <c r="A6" s="198"/>
      <c r="C6" s="108" t="s">
        <v>59</v>
      </c>
      <c r="D6" s="105"/>
      <c r="E6" s="33">
        <f>'Assumptions and References'!$C$8*Inputs!D8</f>
        <v>151200</v>
      </c>
      <c r="F6" s="33">
        <f>'Assumptions and References'!$C$8*Inputs!E8</f>
        <v>151200</v>
      </c>
      <c r="G6" s="33">
        <f>'Assumptions and References'!$C$8*Inputs!F8</f>
        <v>151200</v>
      </c>
      <c r="H6" s="33">
        <f>'Assumptions and References'!$C$8*Inputs!G8</f>
        <v>151200</v>
      </c>
      <c r="I6" s="33">
        <f>'Assumptions and References'!$C$8*Inputs!H8</f>
        <v>151200</v>
      </c>
    </row>
    <row r="7" spans="1:9" ht="12.75">
      <c r="A7" s="198"/>
      <c r="C7" s="108" t="s">
        <v>11</v>
      </c>
      <c r="D7" s="105"/>
      <c r="E7" s="33">
        <f>'Assumptions and References'!$C$17*('Assumptions and References'!$C$25*Inputs!D10+'Assumptions and References'!$C$26*Inputs!D8)</f>
        <v>261120</v>
      </c>
      <c r="F7" s="33">
        <f>'Assumptions and References'!$C$17*('Assumptions and References'!$C$25*Inputs!E10+'Assumptions and References'!$C$26*Inputs!E8)</f>
        <v>261120</v>
      </c>
      <c r="G7" s="33">
        <f>'Assumptions and References'!$C$17*('Assumptions and References'!$C$25*Inputs!F10+'Assumptions and References'!$C$26*Inputs!F8)</f>
        <v>261120</v>
      </c>
      <c r="H7" s="33">
        <f>'Assumptions and References'!$C$17*('Assumptions and References'!$C$25*Inputs!G10+'Assumptions and References'!$C$26*Inputs!G8)</f>
        <v>261120</v>
      </c>
      <c r="I7" s="33">
        <f>'Assumptions and References'!$C$17*('Assumptions and References'!$C$25*Inputs!H10+'Assumptions and References'!$C$26*Inputs!H8)</f>
        <v>261120</v>
      </c>
    </row>
    <row r="8" spans="1:9" ht="12.75">
      <c r="A8" s="198"/>
      <c r="C8" s="109" t="s">
        <v>60</v>
      </c>
      <c r="D8" s="105"/>
      <c r="E8" s="33">
        <f>Inputs!D8*('Assumptions and References'!$C$13/1000)*(1+'Assumptions and References'!$C$14)*'Assumptions and References'!$C$15*'Assumptions and References'!$C$16</f>
        <v>65279.51999999998</v>
      </c>
      <c r="F8" s="33">
        <f>Inputs!E8*('Assumptions and References'!$C$13/1000)*(1+'Assumptions and References'!$C$14)*'Assumptions and References'!$C$15*'Assumptions and References'!$C$16</f>
        <v>65279.51999999998</v>
      </c>
      <c r="G8" s="33">
        <f>Inputs!F8*('Assumptions and References'!$C$13/1000)*(1+'Assumptions and References'!$C$14)*'Assumptions and References'!$C$15*'Assumptions and References'!$C$16</f>
        <v>65279.51999999998</v>
      </c>
      <c r="H8" s="33">
        <f>Inputs!G8*('Assumptions and References'!$C$13/1000)*(1+'Assumptions and References'!$C$14)*'Assumptions and References'!$C$15*'Assumptions and References'!$C$16</f>
        <v>65279.51999999998</v>
      </c>
      <c r="I8" s="33">
        <f>Inputs!H8*('Assumptions and References'!$C$13/1000)*(1+'Assumptions and References'!$C$14)*'Assumptions and References'!$C$15*'Assumptions and References'!$C$16</f>
        <v>65279.51999999998</v>
      </c>
    </row>
    <row r="9" spans="1:9" ht="13.5" thickBot="1">
      <c r="A9" s="198"/>
      <c r="C9" s="110" t="s">
        <v>75</v>
      </c>
      <c r="D9" s="105"/>
      <c r="E9" s="33">
        <f>Inputs!D9*Inputs!D8*'Assumptions and References'!$C$9</f>
        <v>35712</v>
      </c>
      <c r="F9" s="33">
        <f>Inputs!E9*Inputs!E8*'Assumptions and References'!$C$9</f>
        <v>35712</v>
      </c>
      <c r="G9" s="33">
        <f>Inputs!F9*Inputs!F8*'Assumptions and References'!$C$9</f>
        <v>35712</v>
      </c>
      <c r="H9" s="33">
        <f>Inputs!G9*Inputs!G8*'Assumptions and References'!$C$9</f>
        <v>35712</v>
      </c>
      <c r="I9" s="33">
        <f>Inputs!H9*Inputs!H8*'Assumptions and References'!$C$9</f>
        <v>35712</v>
      </c>
    </row>
    <row r="10" spans="1:9" ht="18.75" thickBot="1">
      <c r="A10" s="198"/>
      <c r="C10" s="112" t="s">
        <v>53</v>
      </c>
      <c r="D10" s="34"/>
      <c r="E10" s="34"/>
      <c r="F10" s="34"/>
      <c r="G10" s="34"/>
      <c r="H10" s="34"/>
      <c r="I10" s="34"/>
    </row>
    <row r="11" spans="1:9" ht="12.75" customHeight="1">
      <c r="A11" s="198"/>
      <c r="C11" s="113" t="s">
        <v>55</v>
      </c>
      <c r="D11" s="111"/>
      <c r="E11" s="34">
        <f>('Assumptions and References'!$C$6+('Assumptions and References'!$C$7*'Assumptions and References'!$C$30))*ROUND(Inputs!D8/Inputs!D11,0)</f>
        <v>45087.417</v>
      </c>
      <c r="F11" s="34">
        <f>('Assumptions and References'!$C$6+('Assumptions and References'!$C$7*'Assumptions and References'!$C$30))*ROUND(Inputs!E8/Inputs!E11,0)</f>
        <v>45087.417</v>
      </c>
      <c r="G11" s="34">
        <f>('Assumptions and References'!$C$6+('Assumptions and References'!$C$7*'Assumptions and References'!$C$30))*ROUND(Inputs!F8/Inputs!F11,0)</f>
        <v>45087.417</v>
      </c>
      <c r="H11" s="34">
        <f>('Assumptions and References'!$C$6+('Assumptions and References'!$C$7*'Assumptions and References'!$C$30))*ROUND(Inputs!G8/Inputs!G11,0)</f>
        <v>45087.417</v>
      </c>
      <c r="I11" s="34">
        <f>('Assumptions and References'!$C$6+('Assumptions and References'!$C$7*'Assumptions and References'!$C$30))*ROUND(Inputs!H8/Inputs!H11,0)</f>
        <v>45087.417</v>
      </c>
    </row>
    <row r="12" spans="1:9" ht="12.75">
      <c r="A12" s="198"/>
      <c r="C12" s="114" t="s">
        <v>59</v>
      </c>
      <c r="D12" s="111"/>
      <c r="E12" s="34">
        <f>('Assumptions and References'!$C$6+('Assumptions and References'!$C$7*'Assumptions and References'!$C$21))*ROUND(Inputs!D8/Inputs!D11,0)</f>
        <v>41824.742130000006</v>
      </c>
      <c r="F12" s="34">
        <f>('Assumptions and References'!$C$6+('Assumptions and References'!$C$7*'Assumptions and References'!$C$21))*ROUND(Inputs!E8/Inputs!E11,0)</f>
        <v>41824.742130000006</v>
      </c>
      <c r="G12" s="34">
        <f>('Assumptions and References'!$C$6+('Assumptions and References'!$C$7*'Assumptions and References'!$C$21))*ROUND(Inputs!F8/Inputs!F11,0)</f>
        <v>41824.742130000006</v>
      </c>
      <c r="H12" s="34">
        <f>('Assumptions and References'!$C$6+('Assumptions and References'!$C$7*'Assumptions and References'!$C$21))*ROUND(Inputs!G8/Inputs!G11,0)</f>
        <v>41824.742130000006</v>
      </c>
      <c r="I12" s="34">
        <f>('Assumptions and References'!$C$6+('Assumptions and References'!$C$7*'Assumptions and References'!$C$21))*ROUND(Inputs!H8/Inputs!H11,0)</f>
        <v>41824.742130000006</v>
      </c>
    </row>
    <row r="13" spans="1:9" ht="12.75">
      <c r="A13" s="198"/>
      <c r="C13" s="114" t="s">
        <v>52</v>
      </c>
      <c r="D13" s="111"/>
      <c r="E13" s="34">
        <f>'Assumptions and References'!$C$17*('Assumptions and References'!$C$34*Inputs!D10+'Assumptions and References'!$C$35*Inputs!D8)</f>
        <v>126720</v>
      </c>
      <c r="F13" s="34">
        <f>'Assumptions and References'!$C$17*('Assumptions and References'!$C$34*Inputs!E10+'Assumptions and References'!$C$35*Inputs!E8)</f>
        <v>126720</v>
      </c>
      <c r="G13" s="34">
        <f>'Assumptions and References'!$C$17*('Assumptions and References'!$C$34*Inputs!F10+'Assumptions and References'!$C$35*Inputs!F8)</f>
        <v>126720</v>
      </c>
      <c r="H13" s="34">
        <f>'Assumptions and References'!$C$17*('Assumptions and References'!$C$34*Inputs!G10+'Assumptions and References'!$C$35*Inputs!G8)</f>
        <v>126720</v>
      </c>
      <c r="I13" s="34">
        <f>'Assumptions and References'!$C$17*('Assumptions and References'!$C$34*Inputs!H10+'Assumptions and References'!$C$35*Inputs!H8)</f>
        <v>126720</v>
      </c>
    </row>
    <row r="14" spans="1:9" ht="12.75">
      <c r="A14" s="198"/>
      <c r="C14" s="115" t="s">
        <v>60</v>
      </c>
      <c r="D14" s="111"/>
      <c r="E14" s="34">
        <f>ROUND(Inputs!D8/Inputs!D11,0)*('Assumptions and References'!$C$13/1000)*(1+'Assumptions and References'!$C$14)*'Assumptions and References'!$C$15*'Assumptions and References'!$C$16</f>
        <v>8159.939999999998</v>
      </c>
      <c r="F14" s="34">
        <f>ROUND(Inputs!E8/Inputs!E11,0)*('Assumptions and References'!$C$13/1000)*(1+'Assumptions and References'!$C$14)*'Assumptions and References'!$C$15*'Assumptions and References'!$C$16</f>
        <v>8159.939999999998</v>
      </c>
      <c r="G14" s="34">
        <f>ROUND(Inputs!F8/Inputs!F11,0)*('Assumptions and References'!$C$13/1000)*(1+'Assumptions and References'!$C$14)*'Assumptions and References'!$C$15*'Assumptions and References'!$C$16</f>
        <v>8159.939999999998</v>
      </c>
      <c r="H14" s="34">
        <f>ROUND(Inputs!G8/Inputs!G11,0)*('Assumptions and References'!$C$13/1000)*(1+'Assumptions and References'!$C$14)*'Assumptions and References'!$C$15*'Assumptions and References'!$C$16</f>
        <v>8159.939999999998</v>
      </c>
      <c r="I14" s="34">
        <f>ROUND(Inputs!H8/Inputs!H11,0)*('Assumptions and References'!$C$13/1000)*(1+'Assumptions and References'!$C$14)*'Assumptions and References'!$C$15*'Assumptions and References'!$C$16</f>
        <v>8159.939999999998</v>
      </c>
    </row>
    <row r="15" spans="1:9" ht="13.5" thickBot="1">
      <c r="A15" s="198"/>
      <c r="C15" s="116" t="s">
        <v>75</v>
      </c>
      <c r="D15" s="111"/>
      <c r="E15" s="34">
        <f>Inputs!D9*ROUND(Inputs!D8/Inputs!D11,0)*'Assumptions and References'!$C$9</f>
        <v>4464</v>
      </c>
      <c r="F15" s="34">
        <f>Inputs!E9*ROUND(Inputs!E8/Inputs!E11,0)*'Assumptions and References'!$C$9</f>
        <v>4464</v>
      </c>
      <c r="G15" s="34">
        <f>Inputs!F9*ROUND(Inputs!F8/Inputs!F11,0)*'Assumptions and References'!$C$9</f>
        <v>4464</v>
      </c>
      <c r="H15" s="34">
        <f>Inputs!G9*ROUND(Inputs!G8/Inputs!G11,0)*'Assumptions and References'!$C$9</f>
        <v>4464</v>
      </c>
      <c r="I15" s="34">
        <f>Inputs!H9*ROUND(Inputs!H8/Inputs!H11,0)*'Assumptions and References'!$C$9</f>
        <v>4464</v>
      </c>
    </row>
    <row r="16" spans="1:9" ht="18.75" thickBot="1">
      <c r="A16" s="198"/>
      <c r="C16" s="117" t="s">
        <v>7</v>
      </c>
      <c r="D16" s="35"/>
      <c r="E16" s="36"/>
      <c r="F16" s="36"/>
      <c r="G16" s="36"/>
      <c r="H16" s="36"/>
      <c r="I16" s="36"/>
    </row>
    <row r="17" spans="1:9" ht="12.75">
      <c r="A17" s="198"/>
      <c r="C17" s="118" t="s">
        <v>105</v>
      </c>
      <c r="D17" s="35"/>
      <c r="E17" s="36">
        <f>(ROUND(Inputs!D8/Inputs!D11,0))*'Assumptions and References'!$C$45</f>
        <v>67950</v>
      </c>
      <c r="F17" s="36">
        <f>(ROUND(Inputs!E8/Inputs!E11,0))*'Assumptions and References'!$C$45</f>
        <v>67950</v>
      </c>
      <c r="G17" s="36">
        <f>(ROUND(Inputs!F8/Inputs!F11,0))*'Assumptions and References'!$C$45</f>
        <v>67950</v>
      </c>
      <c r="H17" s="36">
        <f>(ROUND(Inputs!G8/Inputs!G11,0))*'Assumptions and References'!$C$45</f>
        <v>67950</v>
      </c>
      <c r="I17" s="36">
        <f>(ROUND(Inputs!H8/Inputs!H11,0))*'Assumptions and References'!$C$45</f>
        <v>67950</v>
      </c>
    </row>
    <row r="18" spans="1:9" ht="12.75">
      <c r="A18" s="198"/>
      <c r="C18" s="119" t="s">
        <v>58</v>
      </c>
      <c r="D18" s="35">
        <f>Inputs!D8*'Assumptions and References'!C39</f>
        <v>6480</v>
      </c>
      <c r="E18" s="36"/>
      <c r="F18" s="36"/>
      <c r="G18" s="36"/>
      <c r="H18" s="36"/>
      <c r="I18" s="36"/>
    </row>
    <row r="19" spans="1:9" ht="12.75">
      <c r="A19" s="198"/>
      <c r="C19" s="120" t="s">
        <v>107</v>
      </c>
      <c r="D19" s="35">
        <f>(ROUND(Inputs!D8/Inputs!D11,0))*'Assumptions and References'!C40</f>
        <v>320400</v>
      </c>
      <c r="E19" s="36"/>
      <c r="F19" s="36"/>
      <c r="G19" s="36"/>
      <c r="H19" s="36"/>
      <c r="I19" s="36"/>
    </row>
    <row r="20" spans="1:9" ht="13.5" thickBot="1">
      <c r="A20" s="198"/>
      <c r="C20" s="121" t="s">
        <v>61</v>
      </c>
      <c r="D20" s="35">
        <f>(Inputs!D8)*'Assumptions and References'!C41</f>
        <v>144000</v>
      </c>
      <c r="E20" s="36"/>
      <c r="F20" s="36"/>
      <c r="G20" s="36"/>
      <c r="H20" s="36"/>
      <c r="I20" s="36"/>
    </row>
    <row r="21" spans="1:9" ht="18.75" thickBot="1">
      <c r="A21" s="198"/>
      <c r="C21" s="124" t="s">
        <v>65</v>
      </c>
      <c r="D21" s="31"/>
      <c r="E21" s="32"/>
      <c r="F21" s="32"/>
      <c r="G21" s="32"/>
      <c r="H21" s="32"/>
      <c r="I21" s="32"/>
    </row>
    <row r="22" spans="1:9" ht="12.75">
      <c r="A22" s="198"/>
      <c r="C22" s="125" t="s">
        <v>64</v>
      </c>
      <c r="D22" s="122">
        <f aca="true" t="shared" si="0" ref="D22:I22">SUM(D5:D9)</f>
        <v>0</v>
      </c>
      <c r="E22" s="60">
        <f t="shared" si="0"/>
        <v>847909.45704</v>
      </c>
      <c r="F22" s="60">
        <f t="shared" si="0"/>
        <v>847909.45704</v>
      </c>
      <c r="G22" s="60">
        <f t="shared" si="0"/>
        <v>847909.45704</v>
      </c>
      <c r="H22" s="60">
        <f t="shared" si="0"/>
        <v>847909.45704</v>
      </c>
      <c r="I22" s="60">
        <f t="shared" si="0"/>
        <v>847909.45704</v>
      </c>
    </row>
    <row r="23" spans="1:9" ht="12.75">
      <c r="A23" s="198"/>
      <c r="C23" s="126" t="s">
        <v>66</v>
      </c>
      <c r="D23" s="122">
        <f aca="true" t="shared" si="1" ref="D23:I23">SUM(D10:D20)</f>
        <v>470880</v>
      </c>
      <c r="E23" s="60">
        <f t="shared" si="1"/>
        <v>294206.09913</v>
      </c>
      <c r="F23" s="60">
        <f t="shared" si="1"/>
        <v>294206.09913</v>
      </c>
      <c r="G23" s="60">
        <f t="shared" si="1"/>
        <v>294206.09913</v>
      </c>
      <c r="H23" s="60">
        <f t="shared" si="1"/>
        <v>294206.09913</v>
      </c>
      <c r="I23" s="60">
        <f t="shared" si="1"/>
        <v>294206.09913</v>
      </c>
    </row>
    <row r="24" spans="1:9" ht="12.75">
      <c r="A24" s="198"/>
      <c r="C24" s="126" t="s">
        <v>67</v>
      </c>
      <c r="D24" s="122">
        <f aca="true" t="shared" si="2" ref="D24:I24">D22-D23</f>
        <v>-470880</v>
      </c>
      <c r="E24" s="60">
        <f t="shared" si="2"/>
        <v>553703.35791</v>
      </c>
      <c r="F24" s="60">
        <f t="shared" si="2"/>
        <v>553703.35791</v>
      </c>
      <c r="G24" s="60">
        <f t="shared" si="2"/>
        <v>553703.35791</v>
      </c>
      <c r="H24" s="60">
        <f t="shared" si="2"/>
        <v>553703.35791</v>
      </c>
      <c r="I24" s="60">
        <f t="shared" si="2"/>
        <v>553703.35791</v>
      </c>
    </row>
    <row r="25" spans="1:9" ht="12.75">
      <c r="A25" s="198"/>
      <c r="C25" s="126" t="s">
        <v>71</v>
      </c>
      <c r="D25" s="122">
        <f>D24</f>
        <v>-470880</v>
      </c>
      <c r="E25" s="60">
        <f>SUM(D24:E24)</f>
        <v>82823.35791000002</v>
      </c>
      <c r="F25" s="60">
        <f>SUM(D24:F24)</f>
        <v>636526.71582</v>
      </c>
      <c r="G25" s="60">
        <f>SUM(D24:G24)</f>
        <v>1190230.07373</v>
      </c>
      <c r="H25" s="60">
        <f>SUM(D24:H24)</f>
        <v>1743933.43164</v>
      </c>
      <c r="I25" s="60">
        <f>SUM(D24:I24)</f>
        <v>2297636.78955</v>
      </c>
    </row>
    <row r="26" spans="1:9" ht="12.75">
      <c r="A26" s="198"/>
      <c r="C26" s="126" t="s">
        <v>72</v>
      </c>
      <c r="D26" s="122"/>
      <c r="E26" s="72">
        <f>'Assumptions and References'!C49</f>
        <v>0.49</v>
      </c>
      <c r="F26" s="72">
        <f>'Assumptions and References'!C50</f>
        <v>2.06</v>
      </c>
      <c r="G26" s="72">
        <f>'Assumptions and References'!C51</f>
        <v>3.26</v>
      </c>
      <c r="H26" s="72">
        <f>'Assumptions and References'!C52</f>
        <v>3.69</v>
      </c>
      <c r="I26" s="72">
        <f>'Assumptions and References'!C53</f>
        <v>3.69</v>
      </c>
    </row>
    <row r="27" spans="1:9" ht="12.75">
      <c r="A27" s="198"/>
      <c r="C27" s="126" t="s">
        <v>68</v>
      </c>
      <c r="D27" s="122">
        <f>D24</f>
        <v>-470880</v>
      </c>
      <c r="E27" s="60">
        <f>E24/(1+(E26/100))</f>
        <v>551003.4410488607</v>
      </c>
      <c r="F27" s="60">
        <f>F24/(1+(F26/100))</f>
        <v>542527.2956202234</v>
      </c>
      <c r="G27" s="60">
        <f>G24/(1+(G26/100))</f>
        <v>536222.5042707728</v>
      </c>
      <c r="H27" s="60">
        <f>H24/(1+(H26/100))</f>
        <v>533998.8021120649</v>
      </c>
      <c r="I27" s="60">
        <f>I24/(1+(I26/100))</f>
        <v>533998.8021120649</v>
      </c>
    </row>
    <row r="28" spans="1:9" ht="15.75" thickBot="1">
      <c r="A28" s="198"/>
      <c r="C28" s="127" t="s">
        <v>35</v>
      </c>
      <c r="D28" s="123">
        <f>D27</f>
        <v>-470880</v>
      </c>
      <c r="E28" s="61">
        <f>SUM(D27:E27)</f>
        <v>80123.44104886067</v>
      </c>
      <c r="F28" s="61">
        <f>SUM(D27:F27)</f>
        <v>622650.736669084</v>
      </c>
      <c r="G28" s="61">
        <f>SUM(D27:G27)</f>
        <v>1158873.240939857</v>
      </c>
      <c r="H28" s="61">
        <f>SUM(D27:H27)</f>
        <v>1692872.0430519218</v>
      </c>
      <c r="I28" s="61">
        <f>SUM(D27:I27)</f>
        <v>2226870.8451639866</v>
      </c>
    </row>
    <row r="29" spans="1:9" ht="13.5" thickBot="1">
      <c r="A29" s="198"/>
      <c r="C29" s="78"/>
      <c r="D29" s="78"/>
      <c r="E29" s="78" t="s">
        <v>36</v>
      </c>
      <c r="F29" s="78"/>
      <c r="G29" s="78"/>
      <c r="H29" s="78"/>
      <c r="I29" s="78"/>
    </row>
    <row r="30" spans="1:9" ht="15.75" thickBot="1">
      <c r="A30" s="198"/>
      <c r="D30" s="208" t="s">
        <v>37</v>
      </c>
      <c r="E30" s="201"/>
      <c r="F30" s="200">
        <f>SUM(D27:I27)</f>
        <v>2226870.8451639866</v>
      </c>
      <c r="G30" s="201"/>
      <c r="H30" s="78"/>
      <c r="I30" s="78"/>
    </row>
    <row r="31" spans="1:9" ht="15.75" thickBot="1">
      <c r="A31" s="198"/>
      <c r="D31" s="202" t="s">
        <v>115</v>
      </c>
      <c r="E31" s="201"/>
      <c r="F31" s="203">
        <f>IRR(D24:I24)</f>
        <v>1.1503130625816154</v>
      </c>
      <c r="G31" s="201"/>
      <c r="H31" s="78"/>
      <c r="I31" s="78"/>
    </row>
    <row r="32" spans="1:7" ht="15.75" thickBot="1">
      <c r="A32" s="198"/>
      <c r="C32" s="78"/>
      <c r="D32" s="204" t="s">
        <v>6</v>
      </c>
      <c r="E32" s="205"/>
      <c r="F32" s="206">
        <f>ABS(D24/E24)</f>
        <v>0.850419260192635</v>
      </c>
      <c r="G32" s="207"/>
    </row>
    <row r="33" spans="1:4" ht="13.5" thickBot="1">
      <c r="A33" s="198"/>
      <c r="C33" s="78"/>
      <c r="D33" s="78"/>
    </row>
    <row r="34" spans="1:9" ht="13.5" thickBot="1">
      <c r="A34" s="198"/>
      <c r="C34" s="6" t="s">
        <v>39</v>
      </c>
      <c r="D34" s="7">
        <f>D24</f>
        <v>-470880</v>
      </c>
      <c r="E34" s="8">
        <f>E24/(1+F31)</f>
        <v>257498.9509877398</v>
      </c>
      <c r="F34" s="8">
        <f>F24/((1+F31)^2)</f>
        <v>119749.51716034903</v>
      </c>
      <c r="G34" s="8">
        <f>G24/((1+F31)^3)</f>
        <v>55689.340889079926</v>
      </c>
      <c r="H34" s="8">
        <f>H24/((1+F31)^4)</f>
        <v>25898.247961262263</v>
      </c>
      <c r="I34" s="8">
        <f>I24/((1+F31)^5)</f>
        <v>12043.943001569007</v>
      </c>
    </row>
    <row r="35" spans="1:9" ht="13.5" thickBot="1">
      <c r="A35" s="199"/>
      <c r="C35" s="9" t="s">
        <v>40</v>
      </c>
      <c r="D35" s="4">
        <f>D34</f>
        <v>-470880</v>
      </c>
      <c r="E35" s="5">
        <f>SUM(D34:E34)</f>
        <v>-213381.0490122602</v>
      </c>
      <c r="F35" s="5">
        <f>SUM(D34:F34)</f>
        <v>-93631.53185191116</v>
      </c>
      <c r="G35" s="5">
        <f>SUM(D34:G34)</f>
        <v>-37942.190962831235</v>
      </c>
      <c r="H35" s="5">
        <f>SUM(D34:H34)</f>
        <v>-12043.943001568972</v>
      </c>
      <c r="I35" s="5">
        <f>SUM(D34:I34)</f>
        <v>3.456079866737127E-11</v>
      </c>
    </row>
    <row r="36" ht="13.5" thickBot="1"/>
    <row r="37" spans="1:4" ht="12.75" customHeight="1" thickBot="1">
      <c r="A37" s="194" t="s">
        <v>41</v>
      </c>
      <c r="C37" s="78"/>
      <c r="D37" s="78"/>
    </row>
    <row r="38" spans="1:9" ht="13.5" thickBot="1">
      <c r="A38" s="195"/>
      <c r="D38" s="1" t="s">
        <v>140</v>
      </c>
      <c r="E38" s="1" t="s">
        <v>141</v>
      </c>
      <c r="F38" s="1" t="s">
        <v>142</v>
      </c>
      <c r="G38" s="1" t="s">
        <v>143</v>
      </c>
      <c r="H38" s="1" t="s">
        <v>144</v>
      </c>
      <c r="I38" s="1" t="s">
        <v>33</v>
      </c>
    </row>
    <row r="39" spans="1:9" ht="13.5" thickBot="1">
      <c r="A39" s="195"/>
      <c r="C39" s="3" t="s">
        <v>73</v>
      </c>
      <c r="D39" s="49">
        <f>D8-D14</f>
        <v>0</v>
      </c>
      <c r="E39" s="49">
        <f>(E8-E14)/('Assumptions and References'!C15)</f>
        <v>571195.7999999998</v>
      </c>
      <c r="F39" s="49">
        <f>E39</f>
        <v>571195.7999999998</v>
      </c>
      <c r="G39" s="49">
        <f>F39</f>
        <v>571195.7999999998</v>
      </c>
      <c r="H39" s="49">
        <f>G39</f>
        <v>571195.7999999998</v>
      </c>
      <c r="I39" s="71">
        <f>H39</f>
        <v>571195.7999999998</v>
      </c>
    </row>
    <row r="40" spans="1:9" ht="13.5" thickBot="1">
      <c r="A40" s="195"/>
      <c r="C40" s="2" t="s">
        <v>43</v>
      </c>
      <c r="D40" s="50"/>
      <c r="E40" s="50"/>
      <c r="F40" s="50"/>
      <c r="G40" s="50"/>
      <c r="H40" s="50"/>
      <c r="I40" s="70"/>
    </row>
    <row r="41" spans="1:9" ht="12.75">
      <c r="A41" s="195"/>
      <c r="D41" s="78"/>
      <c r="E41" s="78"/>
      <c r="F41" s="78"/>
      <c r="G41" s="78"/>
      <c r="H41" s="78"/>
      <c r="I41" s="78"/>
    </row>
    <row r="42" spans="1:9" ht="13.5" thickBot="1">
      <c r="A42" s="196"/>
      <c r="D42" s="78"/>
      <c r="E42" s="78"/>
      <c r="F42" s="78"/>
      <c r="G42" s="78"/>
      <c r="H42" s="78"/>
      <c r="I42" s="78"/>
    </row>
    <row r="43" spans="4:9" ht="13.5" thickBot="1">
      <c r="D43" s="78"/>
      <c r="E43" s="78"/>
      <c r="F43" s="78"/>
      <c r="G43" s="78"/>
      <c r="H43" s="78"/>
      <c r="I43" s="78"/>
    </row>
    <row r="44" spans="1:9" ht="12.75" customHeight="1" thickBot="1">
      <c r="A44" s="194" t="s">
        <v>44</v>
      </c>
      <c r="D44" s="78"/>
      <c r="E44" s="78"/>
      <c r="F44" s="78"/>
      <c r="G44" s="78"/>
      <c r="H44" s="78"/>
      <c r="I44" s="78"/>
    </row>
    <row r="45" spans="1:9" ht="13.5" thickBot="1">
      <c r="A45" s="195"/>
      <c r="C45" s="79"/>
      <c r="D45" s="1" t="s">
        <v>45</v>
      </c>
      <c r="E45" s="1" t="s">
        <v>141</v>
      </c>
      <c r="F45" s="1" t="s">
        <v>142</v>
      </c>
      <c r="G45" s="1" t="s">
        <v>143</v>
      </c>
      <c r="H45" s="1" t="s">
        <v>144</v>
      </c>
      <c r="I45" s="1" t="s">
        <v>33</v>
      </c>
    </row>
    <row r="46" spans="1:9" ht="13.5" thickBot="1">
      <c r="A46" s="195"/>
      <c r="C46" s="3" t="s">
        <v>46</v>
      </c>
      <c r="D46" s="3" t="s">
        <v>34</v>
      </c>
      <c r="E46" s="3">
        <f>E39*'Assumptions and References'!C57</f>
        <v>514076.21999999986</v>
      </c>
      <c r="F46" s="3">
        <f>E39*'Assumptions and References'!C57</f>
        <v>514076.21999999986</v>
      </c>
      <c r="G46" s="3">
        <f>E39*'Assumptions and References'!C57</f>
        <v>514076.21999999986</v>
      </c>
      <c r="H46" s="3">
        <f>E39*'Assumptions and References'!C57</f>
        <v>514076.21999999986</v>
      </c>
      <c r="I46" s="3">
        <f>E39*'Assumptions and References'!C57</f>
        <v>514076.21999999986</v>
      </c>
    </row>
    <row r="47" spans="1:9" ht="13.5" thickBot="1">
      <c r="A47" s="195"/>
      <c r="C47" s="3" t="s">
        <v>47</v>
      </c>
      <c r="D47" s="50"/>
      <c r="E47" s="50"/>
      <c r="F47" s="50"/>
      <c r="G47" s="50"/>
      <c r="H47" s="50"/>
      <c r="I47" s="50"/>
    </row>
    <row r="48" spans="1:9" ht="13.5" thickBot="1">
      <c r="A48" s="195"/>
      <c r="C48" s="3" t="s">
        <v>42</v>
      </c>
      <c r="D48" s="50"/>
      <c r="E48" s="50"/>
      <c r="F48" s="50"/>
      <c r="G48" s="50"/>
      <c r="H48" s="50"/>
      <c r="I48" s="50"/>
    </row>
    <row r="49" ht="13.5" thickBot="1">
      <c r="A49" s="196"/>
    </row>
  </sheetData>
  <sheetProtection/>
  <mergeCells count="10">
    <mergeCell ref="C1:I1"/>
    <mergeCell ref="A44:A49"/>
    <mergeCell ref="A37:A42"/>
    <mergeCell ref="A3:A35"/>
    <mergeCell ref="F30:G30"/>
    <mergeCell ref="D31:E31"/>
    <mergeCell ref="F31:G31"/>
    <mergeCell ref="D32:E32"/>
    <mergeCell ref="F32:G32"/>
    <mergeCell ref="D30:E30"/>
  </mergeCells>
  <hyperlinks>
    <hyperlink ref="E26" location="'Assumptions and References'!B49" display="'Assumptions and References'!B49"/>
    <hyperlink ref="F26" location="'Assumptions and References'!B50" display="'Assumptions and References'!B50"/>
    <hyperlink ref="G26" location="'Assumptions and References'!B51" display="'Assumptions and References'!B51"/>
    <hyperlink ref="H26" location="'Assumptions and References'!B52" display="'Assumptions and References'!B52"/>
    <hyperlink ref="I26" location="'Assumptions and References'!B53" display="'Assumptions and References'!B53"/>
  </hyperlinks>
  <printOptions/>
  <pageMargins left="0.7519685039370079" right="0.7519685039370079" top="1" bottom="1" header="0.5" footer="0.5"/>
  <pageSetup fitToHeight="2" fitToWidth="1" horizontalDpi="300" verticalDpi="300" orientation="landscape" paperSize="9" scale="91"/>
  <legacyDrawing r:id="rId2"/>
</worksheet>
</file>

<file path=xl/worksheets/sheet5.xml><?xml version="1.0" encoding="utf-8"?>
<worksheet xmlns="http://schemas.openxmlformats.org/spreadsheetml/2006/main" xmlns:r="http://schemas.openxmlformats.org/officeDocument/2006/relationships">
  <dimension ref="B1:S82"/>
  <sheetViews>
    <sheetView zoomScalePageLayoutView="0" workbookViewId="0" topLeftCell="A1">
      <pane ySplit="1" topLeftCell="A29" activePane="bottomLeft" state="frozen"/>
      <selection pane="topLeft" activeCell="A1" sqref="A1"/>
      <selection pane="bottomLeft" activeCell="E74" sqref="E74"/>
    </sheetView>
  </sheetViews>
  <sheetFormatPr defaultColWidth="17.140625" defaultRowHeight="12.75" customHeight="1"/>
  <cols>
    <col min="1" max="1" width="4.140625" style="73" customWidth="1"/>
    <col min="2" max="2" width="37.7109375" style="73" customWidth="1"/>
    <col min="3" max="3" width="8.421875" style="73" bestFit="1" customWidth="1"/>
    <col min="4" max="4" width="20.28125" style="73" customWidth="1"/>
    <col min="5" max="5" width="92.421875" style="73" bestFit="1" customWidth="1"/>
    <col min="6" max="19" width="17.140625" style="73" customWidth="1"/>
    <col min="20" max="16384" width="17.140625" style="73" customWidth="1"/>
  </cols>
  <sheetData>
    <row r="1" spans="2:10" ht="20.25">
      <c r="B1" s="181" t="s">
        <v>15</v>
      </c>
      <c r="C1" s="181"/>
      <c r="D1" s="181"/>
      <c r="E1" s="181"/>
      <c r="F1" s="80"/>
      <c r="G1" s="80"/>
      <c r="H1" s="80"/>
      <c r="I1" s="80"/>
      <c r="J1" s="80"/>
    </row>
    <row r="2" spans="2:10" ht="20.25">
      <c r="B2" s="100"/>
      <c r="C2" s="100"/>
      <c r="D2" s="100"/>
      <c r="E2" s="100"/>
      <c r="F2" s="80"/>
      <c r="G2" s="80"/>
      <c r="H2" s="80"/>
      <c r="I2" s="80"/>
      <c r="J2" s="80"/>
    </row>
    <row r="3" spans="2:5" ht="12.75" customHeight="1">
      <c r="B3" s="69" t="s">
        <v>137</v>
      </c>
      <c r="C3" s="69" t="s">
        <v>111</v>
      </c>
      <c r="D3" s="69" t="s">
        <v>87</v>
      </c>
      <c r="E3" s="69" t="s">
        <v>121</v>
      </c>
    </row>
    <row r="4" spans="2:19" ht="18">
      <c r="B4" s="213" t="s">
        <v>48</v>
      </c>
      <c r="C4" s="213"/>
      <c r="D4" s="213"/>
      <c r="E4" s="213"/>
      <c r="G4" s="81"/>
      <c r="H4" s="81"/>
      <c r="I4" s="81"/>
      <c r="J4" s="81"/>
      <c r="K4" s="81"/>
      <c r="L4" s="81"/>
      <c r="M4" s="81"/>
      <c r="N4" s="81"/>
      <c r="O4" s="81"/>
      <c r="P4" s="81"/>
      <c r="Q4" s="81"/>
      <c r="R4" s="81"/>
      <c r="S4" s="81"/>
    </row>
    <row r="5" spans="2:19" ht="18">
      <c r="B5" s="40"/>
      <c r="C5" s="41"/>
      <c r="D5" s="41"/>
      <c r="E5" s="42"/>
      <c r="G5" s="81"/>
      <c r="H5" s="81"/>
      <c r="I5" s="81"/>
      <c r="J5" s="81"/>
      <c r="K5" s="81"/>
      <c r="L5" s="81"/>
      <c r="M5" s="81"/>
      <c r="N5" s="81"/>
      <c r="O5" s="81"/>
      <c r="P5" s="81"/>
      <c r="Q5" s="81"/>
      <c r="R5" s="81"/>
      <c r="S5" s="81"/>
    </row>
    <row r="6" spans="2:5" ht="12.75">
      <c r="B6" s="17" t="s">
        <v>50</v>
      </c>
      <c r="C6" s="11">
        <v>2096</v>
      </c>
      <c r="D6" s="12" t="s">
        <v>81</v>
      </c>
      <c r="E6" s="16" t="s">
        <v>127</v>
      </c>
    </row>
    <row r="7" spans="2:5" ht="12.75">
      <c r="B7" s="17" t="s">
        <v>51</v>
      </c>
      <c r="C7" s="11">
        <f>1.04835*1300</f>
        <v>1362.8549999999998</v>
      </c>
      <c r="D7" s="11" t="s">
        <v>130</v>
      </c>
      <c r="E7" s="16" t="s">
        <v>127</v>
      </c>
    </row>
    <row r="8" spans="2:5" ht="12.75">
      <c r="B8" s="15" t="s">
        <v>114</v>
      </c>
      <c r="C8" s="11">
        <v>1050</v>
      </c>
      <c r="D8" s="11" t="s">
        <v>81</v>
      </c>
      <c r="E8" s="16" t="s">
        <v>127</v>
      </c>
    </row>
    <row r="9" spans="2:5" ht="12.75">
      <c r="B9" s="15" t="s">
        <v>75</v>
      </c>
      <c r="C9" s="11">
        <v>1240</v>
      </c>
      <c r="D9" s="11" t="s">
        <v>116</v>
      </c>
      <c r="E9" s="16" t="s">
        <v>127</v>
      </c>
    </row>
    <row r="10" spans="2:5" ht="12.75" customHeight="1">
      <c r="B10" s="15"/>
      <c r="C10" s="11"/>
      <c r="D10" s="11"/>
      <c r="E10" s="16"/>
    </row>
    <row r="11" spans="2:5" ht="18">
      <c r="B11" s="213" t="s">
        <v>49</v>
      </c>
      <c r="C11" s="213"/>
      <c r="D11" s="213"/>
      <c r="E11" s="213"/>
    </row>
    <row r="12" spans="2:5" ht="18">
      <c r="B12" s="40"/>
      <c r="C12" s="41"/>
      <c r="D12" s="41"/>
      <c r="E12" s="42"/>
    </row>
    <row r="13" spans="2:5" ht="12.75">
      <c r="B13" s="15" t="s">
        <v>77</v>
      </c>
      <c r="C13" s="11">
        <v>345</v>
      </c>
      <c r="D13" s="11" t="s">
        <v>83</v>
      </c>
      <c r="E13" s="16" t="s">
        <v>91</v>
      </c>
    </row>
    <row r="14" spans="2:5" ht="25.5">
      <c r="B14" s="15" t="s">
        <v>99</v>
      </c>
      <c r="C14" s="11">
        <v>0.5</v>
      </c>
      <c r="D14" s="11" t="s">
        <v>119</v>
      </c>
      <c r="E14" s="16" t="s">
        <v>86</v>
      </c>
    </row>
    <row r="15" spans="2:5" ht="12.75">
      <c r="B15" s="15" t="s">
        <v>138</v>
      </c>
      <c r="C15" s="11">
        <v>0.1</v>
      </c>
      <c r="D15" s="11" t="s">
        <v>97</v>
      </c>
      <c r="E15" s="16" t="s">
        <v>136</v>
      </c>
    </row>
    <row r="16" spans="2:5" ht="12.75">
      <c r="B16" s="17" t="s">
        <v>62</v>
      </c>
      <c r="C16" s="11">
        <v>8760</v>
      </c>
      <c r="D16" s="12" t="s">
        <v>63</v>
      </c>
      <c r="E16" s="16"/>
    </row>
    <row r="17" spans="2:5" ht="12.75" customHeight="1">
      <c r="B17" s="15" t="s">
        <v>108</v>
      </c>
      <c r="C17" s="11">
        <v>32</v>
      </c>
      <c r="D17" s="11" t="s">
        <v>131</v>
      </c>
      <c r="E17" s="16" t="s">
        <v>127</v>
      </c>
    </row>
    <row r="18" spans="2:5" ht="12.75" customHeight="1">
      <c r="B18" s="18"/>
      <c r="C18" s="19"/>
      <c r="D18" s="19"/>
      <c r="E18" s="20"/>
    </row>
    <row r="19" spans="2:5" ht="18">
      <c r="B19" s="209" t="s">
        <v>79</v>
      </c>
      <c r="C19" s="209"/>
      <c r="D19" s="209"/>
      <c r="E19" s="209"/>
    </row>
    <row r="20" spans="2:5" ht="18">
      <c r="B20" s="43"/>
      <c r="C20" s="44"/>
      <c r="D20" s="44"/>
      <c r="E20" s="45"/>
    </row>
    <row r="21" spans="2:5" ht="12.75">
      <c r="B21" s="21" t="s">
        <v>135</v>
      </c>
      <c r="C21" s="14">
        <v>0.167</v>
      </c>
      <c r="D21" s="14" t="s">
        <v>124</v>
      </c>
      <c r="E21" s="22" t="s">
        <v>127</v>
      </c>
    </row>
    <row r="22" spans="2:5" ht="12.75" customHeight="1">
      <c r="B22" s="21"/>
      <c r="C22" s="14"/>
      <c r="D22" s="14"/>
      <c r="E22" s="22"/>
    </row>
    <row r="23" spans="2:5" ht="18">
      <c r="B23" s="209" t="s">
        <v>82</v>
      </c>
      <c r="C23" s="209"/>
      <c r="D23" s="209"/>
      <c r="E23" s="209"/>
    </row>
    <row r="24" spans="2:5" ht="18">
      <c r="B24" s="43"/>
      <c r="C24" s="44"/>
      <c r="D24" s="44"/>
      <c r="E24" s="45"/>
    </row>
    <row r="25" spans="2:5" ht="25.5">
      <c r="B25" s="65" t="s">
        <v>98</v>
      </c>
      <c r="C25" s="14">
        <v>16</v>
      </c>
      <c r="D25" s="14" t="s">
        <v>125</v>
      </c>
      <c r="E25" s="22" t="s">
        <v>127</v>
      </c>
    </row>
    <row r="26" spans="2:5" ht="25.5">
      <c r="B26" s="14" t="s">
        <v>101</v>
      </c>
      <c r="C26" s="14">
        <v>50</v>
      </c>
      <c r="D26" s="14" t="s">
        <v>95</v>
      </c>
      <c r="E26" s="22" t="s">
        <v>127</v>
      </c>
    </row>
    <row r="27" spans="2:5" ht="12.75">
      <c r="B27" s="21"/>
      <c r="C27" s="14"/>
      <c r="D27" s="14"/>
      <c r="E27" s="22"/>
    </row>
    <row r="28" spans="2:5" ht="18">
      <c r="B28" s="210" t="s">
        <v>133</v>
      </c>
      <c r="C28" s="210"/>
      <c r="D28" s="210"/>
      <c r="E28" s="210"/>
    </row>
    <row r="29" spans="2:5" ht="18">
      <c r="B29" s="46"/>
      <c r="C29" s="47"/>
      <c r="D29" s="47"/>
      <c r="E29" s="48"/>
    </row>
    <row r="30" spans="2:5" ht="12.75">
      <c r="B30" s="25" t="s">
        <v>135</v>
      </c>
      <c r="C30" s="13">
        <v>0.3</v>
      </c>
      <c r="D30" s="13" t="s">
        <v>124</v>
      </c>
      <c r="E30" s="26" t="s">
        <v>127</v>
      </c>
    </row>
    <row r="31" spans="2:5" ht="12.75" customHeight="1">
      <c r="B31" s="25"/>
      <c r="C31" s="13"/>
      <c r="D31" s="13"/>
      <c r="E31" s="26"/>
    </row>
    <row r="32" spans="2:5" ht="18">
      <c r="B32" s="210" t="s">
        <v>57</v>
      </c>
      <c r="C32" s="210"/>
      <c r="D32" s="210"/>
      <c r="E32" s="210"/>
    </row>
    <row r="33" spans="2:5" ht="18">
      <c r="B33" s="46"/>
      <c r="C33" s="47"/>
      <c r="D33" s="47"/>
      <c r="E33" s="48"/>
    </row>
    <row r="34" spans="2:5" ht="25.5">
      <c r="B34" s="29" t="s">
        <v>98</v>
      </c>
      <c r="C34" s="13">
        <v>1.2</v>
      </c>
      <c r="D34" s="13" t="s">
        <v>125</v>
      </c>
      <c r="E34" s="26" t="s">
        <v>127</v>
      </c>
    </row>
    <row r="35" spans="2:5" ht="25.5">
      <c r="B35" s="66" t="s">
        <v>85</v>
      </c>
      <c r="C35" s="13">
        <v>27</v>
      </c>
      <c r="D35" s="13" t="s">
        <v>95</v>
      </c>
      <c r="E35" s="26" t="s">
        <v>127</v>
      </c>
    </row>
    <row r="36" spans="2:5" ht="12.75" customHeight="1">
      <c r="B36" s="25"/>
      <c r="C36" s="13"/>
      <c r="D36" s="13"/>
      <c r="E36" s="26"/>
    </row>
    <row r="37" spans="2:5" ht="18">
      <c r="B37" s="212" t="s">
        <v>122</v>
      </c>
      <c r="C37" s="212"/>
      <c r="D37" s="212"/>
      <c r="E37" s="212"/>
    </row>
    <row r="38" spans="2:5" ht="18">
      <c r="B38" s="37"/>
      <c r="C38" s="38"/>
      <c r="D38" s="38"/>
      <c r="E38" s="39"/>
    </row>
    <row r="39" spans="2:5" ht="12.75">
      <c r="B39" s="30" t="s">
        <v>58</v>
      </c>
      <c r="C39" s="24">
        <v>45</v>
      </c>
      <c r="D39" s="24" t="s">
        <v>126</v>
      </c>
      <c r="E39" s="28" t="s">
        <v>127</v>
      </c>
    </row>
    <row r="40" spans="2:5" ht="12.75">
      <c r="B40" s="27" t="s">
        <v>107</v>
      </c>
      <c r="C40" s="23">
        <v>17800</v>
      </c>
      <c r="D40" s="23" t="s">
        <v>126</v>
      </c>
      <c r="E40" s="28" t="s">
        <v>102</v>
      </c>
    </row>
    <row r="41" spans="2:5" ht="12.75">
      <c r="B41" s="30" t="s">
        <v>61</v>
      </c>
      <c r="C41" s="23">
        <v>1000</v>
      </c>
      <c r="D41" s="24" t="s">
        <v>126</v>
      </c>
      <c r="E41" s="28" t="s">
        <v>127</v>
      </c>
    </row>
    <row r="42" spans="2:5" ht="12.75" customHeight="1">
      <c r="B42" s="30"/>
      <c r="C42" s="23"/>
      <c r="D42" s="24"/>
      <c r="E42" s="28"/>
    </row>
    <row r="43" spans="2:5" ht="18">
      <c r="B43" s="212" t="s">
        <v>56</v>
      </c>
      <c r="C43" s="212"/>
      <c r="D43" s="212"/>
      <c r="E43" s="212"/>
    </row>
    <row r="44" spans="2:5" ht="18">
      <c r="B44" s="37"/>
      <c r="C44" s="38"/>
      <c r="D44" s="38"/>
      <c r="E44" s="39"/>
    </row>
    <row r="45" spans="2:5" ht="25.5">
      <c r="B45" s="23" t="s">
        <v>105</v>
      </c>
      <c r="C45" s="23">
        <v>3775</v>
      </c>
      <c r="D45" s="23" t="s">
        <v>126</v>
      </c>
      <c r="E45" s="28" t="s">
        <v>102</v>
      </c>
    </row>
    <row r="46" spans="2:5" ht="12.75" customHeight="1">
      <c r="B46" s="27"/>
      <c r="C46" s="23"/>
      <c r="D46" s="23"/>
      <c r="E46" s="28"/>
    </row>
    <row r="47" spans="2:5" ht="18">
      <c r="B47" s="209" t="s">
        <v>69</v>
      </c>
      <c r="C47" s="209"/>
      <c r="D47" s="209"/>
      <c r="E47" s="209"/>
    </row>
    <row r="48" spans="2:5" ht="18">
      <c r="B48" s="43"/>
      <c r="C48" s="44"/>
      <c r="D48" s="44"/>
      <c r="E48" s="45"/>
    </row>
    <row r="49" spans="2:5" ht="12.75">
      <c r="B49" s="52" t="s">
        <v>141</v>
      </c>
      <c r="C49" s="53">
        <v>0.49</v>
      </c>
      <c r="D49" s="53" t="s">
        <v>70</v>
      </c>
      <c r="E49" s="22"/>
    </row>
    <row r="50" spans="2:5" ht="12.75" customHeight="1">
      <c r="B50" s="52" t="s">
        <v>142</v>
      </c>
      <c r="C50" s="14">
        <v>2.06</v>
      </c>
      <c r="D50" s="53" t="s">
        <v>70</v>
      </c>
      <c r="E50" s="22"/>
    </row>
    <row r="51" spans="2:5" ht="12.75" customHeight="1">
      <c r="B51" s="52" t="s">
        <v>143</v>
      </c>
      <c r="C51" s="14">
        <v>3.26</v>
      </c>
      <c r="D51" s="53" t="s">
        <v>70</v>
      </c>
      <c r="E51" s="22"/>
    </row>
    <row r="52" spans="2:5" ht="12.75" customHeight="1">
      <c r="B52" s="52" t="s">
        <v>144</v>
      </c>
      <c r="C52" s="14">
        <v>3.69</v>
      </c>
      <c r="D52" s="53" t="s">
        <v>70</v>
      </c>
      <c r="E52" s="22"/>
    </row>
    <row r="53" spans="2:5" ht="12.75" customHeight="1">
      <c r="B53" s="53" t="s">
        <v>33</v>
      </c>
      <c r="C53" s="14">
        <v>3.69</v>
      </c>
      <c r="D53" s="53" t="s">
        <v>70</v>
      </c>
      <c r="E53" s="22"/>
    </row>
    <row r="54" spans="2:5" ht="12.75" customHeight="1">
      <c r="B54" s="52"/>
      <c r="C54" s="14"/>
      <c r="D54" s="53"/>
      <c r="E54" s="22"/>
    </row>
    <row r="55" spans="2:5" ht="18">
      <c r="B55" s="211" t="s">
        <v>74</v>
      </c>
      <c r="C55" s="211"/>
      <c r="D55" s="211"/>
      <c r="E55" s="211"/>
    </row>
    <row r="56" spans="2:5" ht="18">
      <c r="B56" s="62"/>
      <c r="C56" s="63"/>
      <c r="D56" s="63"/>
      <c r="E56" s="64"/>
    </row>
    <row r="57" spans="2:5" ht="28.5">
      <c r="B57" s="56" t="s">
        <v>31</v>
      </c>
      <c r="C57" s="57">
        <v>0.9</v>
      </c>
      <c r="D57" s="58" t="s">
        <v>30</v>
      </c>
      <c r="E57" s="59" t="s">
        <v>32</v>
      </c>
    </row>
    <row r="58" spans="2:5" ht="11.25" customHeight="1">
      <c r="B58" s="84"/>
      <c r="C58" s="84"/>
      <c r="D58" s="84"/>
      <c r="E58" s="74"/>
    </row>
    <row r="59" spans="2:5" ht="12.75" customHeight="1">
      <c r="B59" s="98" t="s">
        <v>109</v>
      </c>
      <c r="C59" s="98" t="s">
        <v>120</v>
      </c>
      <c r="D59" s="98" t="s">
        <v>90</v>
      </c>
      <c r="E59" s="74"/>
    </row>
    <row r="60" spans="2:5" ht="12.75" customHeight="1">
      <c r="B60" s="98" t="s">
        <v>96</v>
      </c>
      <c r="C60" s="99"/>
      <c r="D60" s="99"/>
      <c r="E60" s="74"/>
    </row>
    <row r="61" spans="2:5" ht="12.75" customHeight="1">
      <c r="B61" s="98" t="s">
        <v>118</v>
      </c>
      <c r="C61" s="99"/>
      <c r="D61" s="99"/>
      <c r="E61" s="74"/>
    </row>
    <row r="62" spans="2:5" ht="12.75" customHeight="1">
      <c r="B62" s="98" t="s">
        <v>110</v>
      </c>
      <c r="C62" s="99"/>
      <c r="D62" s="98" t="s">
        <v>100</v>
      </c>
      <c r="E62" s="74"/>
    </row>
    <row r="63" spans="2:5" ht="12.75" customHeight="1">
      <c r="B63" s="98" t="s">
        <v>80</v>
      </c>
      <c r="C63" s="99"/>
      <c r="D63" s="98" t="s">
        <v>100</v>
      </c>
      <c r="E63" s="74"/>
    </row>
    <row r="64" spans="2:5" ht="12.75" customHeight="1">
      <c r="B64" s="98" t="s">
        <v>129</v>
      </c>
      <c r="C64" s="99"/>
      <c r="D64" s="98" t="s">
        <v>104</v>
      </c>
      <c r="E64" s="74"/>
    </row>
    <row r="65" spans="2:5" ht="12.75" customHeight="1">
      <c r="B65" s="98" t="s">
        <v>139</v>
      </c>
      <c r="C65" s="99"/>
      <c r="D65" s="98" t="s">
        <v>123</v>
      </c>
      <c r="E65" s="74"/>
    </row>
    <row r="66" spans="2:5" ht="12.75" customHeight="1">
      <c r="B66" s="84"/>
      <c r="C66" s="84"/>
      <c r="D66" s="84"/>
      <c r="E66" s="74"/>
    </row>
    <row r="67" spans="2:5" ht="12.75" customHeight="1">
      <c r="B67" s="84"/>
      <c r="C67" s="84"/>
      <c r="D67" s="84"/>
      <c r="E67" s="74"/>
    </row>
    <row r="68" spans="2:5" ht="12.75" customHeight="1">
      <c r="B68" s="84"/>
      <c r="C68" s="84"/>
      <c r="D68" s="84"/>
      <c r="E68" s="74"/>
    </row>
    <row r="69" spans="2:5" ht="12.75" customHeight="1">
      <c r="B69" s="84"/>
      <c r="C69" s="84"/>
      <c r="D69" s="84"/>
      <c r="E69" s="74"/>
    </row>
    <row r="70" spans="2:5" ht="12.75" customHeight="1">
      <c r="B70" s="98" t="s">
        <v>113</v>
      </c>
      <c r="C70" s="98" t="s">
        <v>78</v>
      </c>
      <c r="D70" s="98" t="s">
        <v>88</v>
      </c>
      <c r="E70" s="74"/>
    </row>
    <row r="71" spans="2:5" ht="12.75" customHeight="1">
      <c r="B71" s="98" t="s">
        <v>103</v>
      </c>
      <c r="C71" s="99"/>
      <c r="D71" s="98" t="s">
        <v>132</v>
      </c>
      <c r="E71" s="74"/>
    </row>
    <row r="72" spans="2:5" ht="12.75" customHeight="1">
      <c r="B72" s="98" t="s">
        <v>112</v>
      </c>
      <c r="C72" s="99"/>
      <c r="D72" s="98" t="s">
        <v>117</v>
      </c>
      <c r="E72" s="74"/>
    </row>
    <row r="73" spans="2:5" ht="12.75" customHeight="1">
      <c r="B73" s="98" t="s">
        <v>84</v>
      </c>
      <c r="C73" s="99"/>
      <c r="D73" s="98" t="s">
        <v>117</v>
      </c>
      <c r="E73" s="74"/>
    </row>
    <row r="74" spans="2:5" ht="12.75" customHeight="1">
      <c r="B74" s="98" t="s">
        <v>93</v>
      </c>
      <c r="C74" s="99"/>
      <c r="D74" s="98" t="s">
        <v>128</v>
      </c>
      <c r="E74" s="74"/>
    </row>
    <row r="75" spans="2:5" ht="12.75" customHeight="1">
      <c r="B75" s="98" t="s">
        <v>134</v>
      </c>
      <c r="C75" s="99"/>
      <c r="D75" s="99"/>
      <c r="E75" s="74"/>
    </row>
    <row r="76" spans="2:5" ht="12.75" customHeight="1">
      <c r="B76" s="98" t="s">
        <v>92</v>
      </c>
      <c r="C76" s="99"/>
      <c r="D76" s="99"/>
      <c r="E76" s="74"/>
    </row>
    <row r="77" spans="2:5" ht="12.75" customHeight="1">
      <c r="B77" s="98" t="s">
        <v>94</v>
      </c>
      <c r="C77" s="99"/>
      <c r="D77" s="99"/>
      <c r="E77" s="74"/>
    </row>
    <row r="78" spans="2:5" ht="12.75" customHeight="1">
      <c r="B78" s="98" t="s">
        <v>76</v>
      </c>
      <c r="C78" s="99"/>
      <c r="D78" s="99"/>
      <c r="E78" s="74"/>
    </row>
    <row r="79" spans="2:5" ht="12.75" customHeight="1">
      <c r="B79" s="98" t="s">
        <v>89</v>
      </c>
      <c r="C79" s="99"/>
      <c r="D79" s="99"/>
      <c r="E79" s="74"/>
    </row>
    <row r="80" spans="2:5" ht="12.75" customHeight="1">
      <c r="B80" s="98" t="s">
        <v>115</v>
      </c>
      <c r="C80" s="99"/>
      <c r="D80" s="99"/>
      <c r="E80" s="74"/>
    </row>
    <row r="81" spans="2:5" ht="12.75" customHeight="1">
      <c r="B81" s="98" t="s">
        <v>106</v>
      </c>
      <c r="C81" s="99"/>
      <c r="D81" s="99"/>
      <c r="E81" s="74"/>
    </row>
    <row r="82" spans="2:5" ht="12.75" customHeight="1">
      <c r="B82" s="84"/>
      <c r="C82" s="84"/>
      <c r="D82" s="84"/>
      <c r="E82" s="74"/>
    </row>
  </sheetData>
  <sheetProtection/>
  <mergeCells count="11">
    <mergeCell ref="B19:E19"/>
    <mergeCell ref="B23:E23"/>
    <mergeCell ref="B28:E28"/>
    <mergeCell ref="B32:E32"/>
    <mergeCell ref="B1:E1"/>
    <mergeCell ref="B55:E55"/>
    <mergeCell ref="B37:E37"/>
    <mergeCell ref="B43:E43"/>
    <mergeCell ref="B47:E47"/>
    <mergeCell ref="B4:E4"/>
    <mergeCell ref="B11:E11"/>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c:creator>
  <cp:keywords/>
  <dc:description/>
  <cp:lastModifiedBy>Ben</cp:lastModifiedBy>
  <cp:lastPrinted>2010-02-12T00:56:34Z</cp:lastPrinted>
  <dcterms:created xsi:type="dcterms:W3CDTF">2010-02-09T22:08:38Z</dcterms:created>
  <dcterms:modified xsi:type="dcterms:W3CDTF">2010-02-13T06:00:08Z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