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https://d.docs.live.net/f5b276ccb8d0169b/Desktop/Fall 2020/"/>
    </mc:Choice>
  </mc:AlternateContent>
  <xr:revisionPtr revIDLastSave="114" documentId="8_{D7E923D0-4F68-494D-BCC5-2927A9D5FABA}" xr6:coauthVersionLast="45" xr6:coauthVersionMax="45" xr10:uidLastSave="{912F3B2E-9729-4372-A2AE-7EE418E37B0A}"/>
  <bookViews>
    <workbookView xWindow="-108" yWindow="-108" windowWidth="23256" windowHeight="12576" tabRatio="500" activeTab="1" xr2:uid="{00000000-000D-0000-FFFF-FFFF00000000}"/>
  </bookViews>
  <sheets>
    <sheet name="Style" sheetId="1" r:id="rId1"/>
    <sheet name="Water Accumulation Chart" sheetId="6" r:id="rId2"/>
    <sheet name="Oroville" sheetId="4" r:id="rId3"/>
    <sheet name="Functions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4" i="4" l="1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K51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23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I23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23" i="4"/>
  <c r="B7" i="4" l="1"/>
  <c r="B16" i="4"/>
  <c r="B12" i="4"/>
  <c r="B4" i="4" s="1"/>
  <c r="B14" i="4"/>
  <c r="B6" i="4"/>
  <c r="C42" i="1"/>
  <c r="C43" i="1"/>
  <c r="C44" i="1"/>
  <c r="G25" i="1" s="1"/>
  <c r="G26" i="1" s="1"/>
  <c r="G27" i="1" s="1"/>
  <c r="G28" i="1" s="1"/>
  <c r="G29" i="1" s="1"/>
  <c r="G30" i="1" s="1"/>
  <c r="C45" i="1"/>
  <c r="C37" i="1"/>
  <c r="D88" i="2"/>
  <c r="D87" i="2"/>
  <c r="D81" i="2"/>
  <c r="D83" i="2" s="1"/>
  <c r="D80" i="2"/>
  <c r="D79" i="2"/>
  <c r="D75" i="2"/>
  <c r="D74" i="2"/>
  <c r="D73" i="2"/>
  <c r="D56" i="2"/>
  <c r="D57" i="2" s="1"/>
  <c r="D55" i="2"/>
  <c r="D51" i="2"/>
  <c r="D50" i="2"/>
  <c r="D49" i="2"/>
  <c r="D48" i="2"/>
  <c r="D47" i="2"/>
  <c r="D46" i="2"/>
  <c r="D42" i="2"/>
  <c r="D41" i="2"/>
  <c r="D40" i="2"/>
  <c r="D36" i="2"/>
  <c r="D35" i="2"/>
  <c r="D24" i="2"/>
  <c r="D33" i="2" s="1"/>
  <c r="D34" i="2"/>
  <c r="D31" i="2"/>
  <c r="D32" i="2" s="1"/>
  <c r="D30" i="2"/>
  <c r="D29" i="2"/>
  <c r="D28" i="2"/>
  <c r="D27" i="2"/>
  <c r="D26" i="2"/>
  <c r="D25" i="2"/>
  <c r="D23" i="2"/>
  <c r="D19" i="2"/>
  <c r="D18" i="2"/>
  <c r="D17" i="2"/>
  <c r="D14" i="2"/>
  <c r="D16" i="2"/>
  <c r="D15" i="2"/>
  <c r="D13" i="2"/>
  <c r="D60" i="2" l="1"/>
  <c r="D66" i="2"/>
  <c r="D61" i="2"/>
  <c r="D59" i="2"/>
  <c r="D85" i="2"/>
  <c r="D84" i="2"/>
  <c r="D86" i="2"/>
  <c r="G31" i="1"/>
  <c r="K25" i="1" s="1"/>
  <c r="D58" i="2"/>
  <c r="D82" i="2"/>
  <c r="D62" i="2"/>
  <c r="D64" i="2" l="1"/>
  <c r="D68" i="2" s="1"/>
  <c r="D63" i="2"/>
  <c r="D67" i="2" s="1"/>
  <c r="D69" i="2" s="1"/>
  <c r="D65" i="2" l="1"/>
  <c r="L51" i="4"/>
  <c r="L23" i="4"/>
  <c r="L23" i="4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sev</author>
  </authors>
  <commentList>
    <comment ref="A20" authorId="0" shapeId="0" xr:uid="{00000000-0006-0000-0100-000001000000}">
      <text>
        <r>
          <rPr>
            <b/>
            <sz val="10"/>
            <color indexed="81"/>
            <rFont val="Calibri"/>
          </rPr>
          <t>sev:</t>
        </r>
        <r>
          <rPr>
            <sz val="10"/>
            <color indexed="81"/>
            <rFont val="Calibri"/>
          </rPr>
          <t xml:space="preserve">
Data from http://cdec.water.ca.gov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<sst xmlns="http://schemas.openxmlformats.org/spreadsheetml/2006/main" count="384" uniqueCount="298">
  <si>
    <t>Calculation Style Sample</t>
  </si>
  <si>
    <t>Organization</t>
  </si>
  <si>
    <t>+ Sets of constants and calculations are separated into logical, named groups.</t>
  </si>
  <si>
    <t>+ Information in each groups is structured as logically as possible: parallel calculations are placed side by side.</t>
  </si>
  <si>
    <t>+ The groups themselves are laid out in logical order, starting with constants and inputs, then calculations, then results, then error-checking.</t>
  </si>
  <si>
    <t>Formatting</t>
  </si>
  <si>
    <t>+ A bare minimum of formatting is used: only what helps organize the information, and nothing more.</t>
  </si>
  <si>
    <t>+ Bold text and double horizontal lines distinguish information groups.</t>
  </si>
  <si>
    <t>+ Single horizontal lines create header and calculation breaks where necessary.</t>
  </si>
  <si>
    <t>Calculations</t>
  </si>
  <si>
    <t>+ Values are never, ever, hard-coded into calculations.  By explicitly specifying every value elsewhere--even physical constants--you'll avoid errors and make finding them easier.</t>
  </si>
  <si>
    <t>+ Numerical results have a number format appropriate to the scale of the number (number of decimals, percentages, etc.).</t>
  </si>
  <si>
    <t>Documentation</t>
  </si>
  <si>
    <t>+ Units are always specified.  Some combine them with data labels (see cell B44), but I like to keep them separate: it ensures that I never forget to specify units.</t>
  </si>
  <si>
    <t>Everyone has their own style, in Excel as in all things.  Some principles you might find useful:</t>
  </si>
  <si>
    <t xml:space="preserve">+ Inputs are color coded, so it's easy to see where the degrees of freedom are.  </t>
  </si>
  <si>
    <t xml:space="preserve">+ Key outputs are color coded too, so it's easy to identify the main results.  </t>
  </si>
  <si>
    <t>+ Comments abound.  Use comments to describe where values come from; complex calculations or unusual results merit comments too.</t>
  </si>
  <si>
    <t>Constants</t>
  </si>
  <si>
    <t>Guide to Common Functions</t>
  </si>
  <si>
    <t>This is just a small sampling of the functions Excel offers, and in some cases the syntax for each function has been abbreviated.</t>
  </si>
  <si>
    <t>For the full list and details on each, check Excel's help files (press F1) or online reference:</t>
  </si>
  <si>
    <t>Excel Functions by Category</t>
  </si>
  <si>
    <t>Logic</t>
  </si>
  <si>
    <t>Sample Data</t>
  </si>
  <si>
    <t>Function</t>
  </si>
  <si>
    <t>Syntax</t>
  </si>
  <si>
    <t>Example</t>
  </si>
  <si>
    <t>Notes</t>
  </si>
  <si>
    <t>Err</t>
  </si>
  <si>
    <t>True</t>
  </si>
  <si>
    <t>Just type "true"</t>
  </si>
  <si>
    <t>Simply type "true" into a cell or equation; Excel will recognize it and treat it as a logical</t>
  </si>
  <si>
    <t>False</t>
  </si>
  <si>
    <t>Simply type "false" into a cell or equation; Excel will recognize it and treat it as a logical</t>
  </si>
  <si>
    <t>Logical Operators</t>
  </si>
  <si>
    <t>=, &lt;&gt;, &lt;=, &gt;=</t>
  </si>
  <si>
    <t>Not</t>
  </si>
  <si>
    <t>=NOT(logical)</t>
  </si>
  <si>
    <t>Returns the opposite of a logical input</t>
  </si>
  <si>
    <t>And</t>
  </si>
  <si>
    <t>=AND(logical1, logical2…)</t>
  </si>
  <si>
    <t>Inputs can be cells, ranges, and/or values, separated by commas</t>
  </si>
  <si>
    <t>Or</t>
  </si>
  <si>
    <t>=OR(logical1, logical2…)</t>
  </si>
  <si>
    <t>If</t>
  </si>
  <si>
    <t>=IF(logical test, value if true, value if false)</t>
  </si>
  <si>
    <t>Returns one of two values based on the result of a logical test</t>
  </si>
  <si>
    <t>Is Number</t>
  </si>
  <si>
    <t>=ISNUMBER(value)</t>
  </si>
  <si>
    <t>Returns true if the value if a number, false if it is not</t>
  </si>
  <si>
    <t>Is Error</t>
  </si>
  <si>
    <t>=ISERROR(value)</t>
  </si>
  <si>
    <t>Returns true if the value is an error, false if it is not</t>
  </si>
  <si>
    <t>Basic Math</t>
  </si>
  <si>
    <t>Sum</t>
  </si>
  <si>
    <t>=SUM(value1, value2…)</t>
  </si>
  <si>
    <t>A</t>
  </si>
  <si>
    <t>B</t>
  </si>
  <si>
    <t>Product</t>
  </si>
  <si>
    <t>=PRODUCT(value1, value2…)</t>
  </si>
  <si>
    <t>Average</t>
  </si>
  <si>
    <t>=AVERAGE(value1, value2…)</t>
  </si>
  <si>
    <t>Max</t>
  </si>
  <si>
    <t>=MAX(value1, value2…)</t>
  </si>
  <si>
    <t>Min</t>
  </si>
  <si>
    <t>=MIN(value1, value2…)</t>
  </si>
  <si>
    <t>Count (numbers)</t>
  </si>
  <si>
    <t>=COUNT(value1, value2...)</t>
  </si>
  <si>
    <t>Inputs can be cells, ranges, and/or values, separated by commas (counts only numbers)</t>
  </si>
  <si>
    <t>Count (all values)</t>
  </si>
  <si>
    <t>=COUNTA(value1, value2...)</t>
  </si>
  <si>
    <t>Inputs can be cells, ranges, and/or values, separated by commas (counts all values)</t>
  </si>
  <si>
    <t>Random Value</t>
  </si>
  <si>
    <t>=RAND()</t>
  </si>
  <si>
    <t>Returns a random value between 0 and 1; note that it changes with every recalculation!</t>
  </si>
  <si>
    <t>Pi</t>
  </si>
  <si>
    <t>=PI()</t>
  </si>
  <si>
    <t>Returns the value of pi</t>
  </si>
  <si>
    <t>Round</t>
  </si>
  <si>
    <t>=ROUND(value)</t>
  </si>
  <si>
    <t>Rounds a value to the specified number of digits</t>
  </si>
  <si>
    <t>Floor</t>
  </si>
  <si>
    <t>=FLOOR(value)</t>
  </si>
  <si>
    <t>Rounds a value down to the next lowest given multiple</t>
  </si>
  <si>
    <t>Ceiling</t>
  </si>
  <si>
    <t>=CEILING(value)</t>
  </si>
  <si>
    <t>Rounds a value up to the next highest given multiple</t>
  </si>
  <si>
    <t>Absolute Value</t>
  </si>
  <si>
    <t>=ABS(value)</t>
  </si>
  <si>
    <t>Returns the absolute value of a number</t>
  </si>
  <si>
    <t>NOTE: Functions can be nested!</t>
  </si>
  <si>
    <t>Here's a meaningless but representative example!</t>
  </si>
  <si>
    <t>Advanced Math</t>
  </si>
  <si>
    <t>X</t>
  </si>
  <si>
    <t>Y</t>
  </si>
  <si>
    <t>Count If</t>
  </si>
  <si>
    <t>=COUNTIF(range, criteria)</t>
  </si>
  <si>
    <t>Counts the number of cells in a range that meet the given condition</t>
  </si>
  <si>
    <t>Sum If</t>
  </si>
  <si>
    <t>=SUMIF(range, criteria, sum range)</t>
  </si>
  <si>
    <t>Sums cells in one range, if the corresponding cell in another range meets the given condition</t>
  </si>
  <si>
    <t>Sum Product</t>
  </si>
  <si>
    <t>=SUMPRODUCT(range1, range2)</t>
  </si>
  <si>
    <t>Multiplies corresponding cells in 2 or more ranges, then these results are summed</t>
  </si>
  <si>
    <t>Lookup &amp; Reference</t>
  </si>
  <si>
    <t>C</t>
  </si>
  <si>
    <t>D</t>
  </si>
  <si>
    <t>Match</t>
  </si>
  <si>
    <t>=MATCH(value, range, match type)</t>
  </si>
  <si>
    <t>Finds the given value in the given range; enter a match type of 0 for an exact match</t>
  </si>
  <si>
    <t>Index</t>
  </si>
  <si>
    <t>=INDEX(range, row num, column num)</t>
  </si>
  <si>
    <t>Uses the given row and column numbers to return a value from a range</t>
  </si>
  <si>
    <t>Vertical Lookup</t>
  </si>
  <si>
    <t>=VLOOKUP(value, table, column)</t>
  </si>
  <si>
    <t>Looks in the first column of a range and returns the value of the indicated cell</t>
  </si>
  <si>
    <t>Z</t>
  </si>
  <si>
    <t>Horizontal Lookup</t>
  </si>
  <si>
    <t>=HLOOKUP(value, table, row)</t>
  </si>
  <si>
    <t>Looks in the top row of a range and returns the value of the indicated cell</t>
  </si>
  <si>
    <t>Row</t>
  </si>
  <si>
    <t>=ROW(cell)</t>
  </si>
  <si>
    <t>Returns the row number of a given cell</t>
  </si>
  <si>
    <t>Column</t>
  </si>
  <si>
    <t>=COLUMN(cell)</t>
  </si>
  <si>
    <t>Returns the column number of a given cell</t>
  </si>
  <si>
    <t>Date &amp; Time</t>
  </si>
  <si>
    <t>Today</t>
  </si>
  <si>
    <t>=TODAY()</t>
  </si>
  <si>
    <t>Returns the current date; note that it updates with every recalculation!</t>
  </si>
  <si>
    <t>Now</t>
  </si>
  <si>
    <t>=NOW()</t>
  </si>
  <si>
    <t>Returns the current date and time; note that it updates with every recalculation!</t>
  </si>
  <si>
    <t>Year</t>
  </si>
  <si>
    <t>=YEAR(serial number)</t>
  </si>
  <si>
    <t>Given a complete date, it returns the year</t>
  </si>
  <si>
    <t>Month</t>
  </si>
  <si>
    <t>=MONTH(serial number)</t>
  </si>
  <si>
    <t>Given a complete date, it returns the month</t>
  </si>
  <si>
    <t>Day</t>
  </si>
  <si>
    <t>=DAY(serial number)</t>
  </si>
  <si>
    <t>Given a complete date, it returns the day</t>
  </si>
  <si>
    <t>Hour</t>
  </si>
  <si>
    <t>=HOUR(serial number)</t>
  </si>
  <si>
    <t>Given a complete time or date and time, returns the hour</t>
  </si>
  <si>
    <t>Minute</t>
  </si>
  <si>
    <t>=MINUTE(serial number)</t>
  </si>
  <si>
    <t>Given a complete time or date and time, returns the minute</t>
  </si>
  <si>
    <t>Second</t>
  </si>
  <si>
    <t>=SECOND(serial number)</t>
  </si>
  <si>
    <t>Given a complete time or date and time, returns the second</t>
  </si>
  <si>
    <t>Date</t>
  </si>
  <si>
    <t>=DATE(year, month, day)</t>
  </si>
  <si>
    <t>Creates a full date from year, month, and day</t>
  </si>
  <si>
    <t>Time</t>
  </si>
  <si>
    <t>=TIME(hour, minute, second)</t>
  </si>
  <si>
    <t>Creates a full time from hour, minute, and second</t>
  </si>
  <si>
    <t>Net Work Days</t>
  </si>
  <si>
    <t>=NETWORKDAYS(date1, date2)</t>
  </si>
  <si>
    <t>Calculates the number of working days between two dates (including the endpoints)</t>
  </si>
  <si>
    <t>NOTE: Excel stores full dates &amp; times as numbers:</t>
  </si>
  <si>
    <t>The integer poriton represents the day, and the fraction represents the time</t>
  </si>
  <si>
    <t>So, you can manipulate dates by adding integers:</t>
  </si>
  <si>
    <t>For example, to add one week, add 7</t>
  </si>
  <si>
    <t>And you can manipulate times by adding fractions:</t>
  </si>
  <si>
    <t>For example, to add three hours, add 3/24 (3 hours is 3/24 of one day)</t>
  </si>
  <si>
    <t>Or you can find the length of time between two dates/times:</t>
  </si>
  <si>
    <t>For example, for the number of hours between two, subtract the earlier and mulitply by 24</t>
  </si>
  <si>
    <t>Financial</t>
  </si>
  <si>
    <t>Y0</t>
  </si>
  <si>
    <t>Y1</t>
  </si>
  <si>
    <t>Y2</t>
  </si>
  <si>
    <t>Y3</t>
  </si>
  <si>
    <t>Y4</t>
  </si>
  <si>
    <t>Internal Rate of Return</t>
  </si>
  <si>
    <t>=IRR(values)</t>
  </si>
  <si>
    <t>The IRR function assumes the values start with year 0</t>
  </si>
  <si>
    <t>Net Present Value</t>
  </si>
  <si>
    <t>=NPV(rate, values)</t>
  </si>
  <si>
    <t>The NPV function assumes the values start with year 1: add year 0 value separately</t>
  </si>
  <si>
    <t>Rate:</t>
  </si>
  <si>
    <t>NOTE: If your string of values is not in years, adjust the rate</t>
  </si>
  <si>
    <t>For example, if the values are monthly, divide the annual discount rate by 12</t>
  </si>
  <si>
    <t>Text</t>
  </si>
  <si>
    <t>This is text!</t>
  </si>
  <si>
    <t>TEXT</t>
  </si>
  <si>
    <t>This</t>
  </si>
  <si>
    <t>That</t>
  </si>
  <si>
    <t>Convert to Text</t>
  </si>
  <si>
    <t>=TEXT(value, format text)</t>
  </si>
  <si>
    <t>In the "format text": 0 = always show this digit; # = show this digit if necessary</t>
  </si>
  <si>
    <t>Search Text</t>
  </si>
  <si>
    <t>=SEARCH(find text, within text)</t>
  </si>
  <si>
    <t>Returns the location (# of characters from start of text) of the "find text" in the "within text"</t>
  </si>
  <si>
    <t>Substitute within Text</t>
  </si>
  <si>
    <t>=SUBSTITUTE(text, old text, new text)</t>
  </si>
  <si>
    <t>Substitutes "new text" for "old text" in "text"</t>
  </si>
  <si>
    <t>Convert to Lowercase</t>
  </si>
  <si>
    <t>=LOWER(text)</t>
  </si>
  <si>
    <t>Converts all letters to lowercase</t>
  </si>
  <si>
    <t>Conver to Uppercase</t>
  </si>
  <si>
    <t>=UPPER(text)</t>
  </si>
  <si>
    <t>Converts all letters to uppercase</t>
  </si>
  <si>
    <t>Left</t>
  </si>
  <si>
    <t>=LEFT(text, # of characters)</t>
  </si>
  <si>
    <t>Returns specified number of caracters from left side of given text</t>
  </si>
  <si>
    <t>Right</t>
  </si>
  <si>
    <t>=RIGHT(text, # of characters)</t>
  </si>
  <si>
    <t>Returns specified number of caracters from right side of given text</t>
  </si>
  <si>
    <t>Mid</t>
  </si>
  <si>
    <t>=MID(text, starting point, # of characters)</t>
  </si>
  <si>
    <t>Returns specified number of caracters from middle of given text</t>
  </si>
  <si>
    <t>Concatenate</t>
  </si>
  <si>
    <t>=CONCATENATE(text1, text2…)</t>
  </si>
  <si>
    <t>Joins text components</t>
  </si>
  <si>
    <t>Concatenate (&amp;)</t>
  </si>
  <si>
    <t>=text1&amp;text2</t>
  </si>
  <si>
    <t>Global warming potential, CH4</t>
  </si>
  <si>
    <t>Global warming potential, N2O</t>
  </si>
  <si>
    <t>Global warming potential, CO2</t>
  </si>
  <si>
    <t>Density, Compost</t>
  </si>
  <si>
    <t>Density, Manure</t>
  </si>
  <si>
    <t>Density, Food</t>
  </si>
  <si>
    <t>Mass C</t>
  </si>
  <si>
    <t>Mass O</t>
  </si>
  <si>
    <t>Mass H</t>
  </si>
  <si>
    <t>g/kg</t>
  </si>
  <si>
    <t>kg/tonne</t>
  </si>
  <si>
    <t>ha/m2</t>
  </si>
  <si>
    <t>in/m</t>
  </si>
  <si>
    <t>Unit conversion: g/kg</t>
  </si>
  <si>
    <t>Unit conversion: kg/tonne</t>
  </si>
  <si>
    <t>Unit conversion: ha/m2</t>
  </si>
  <si>
    <t>Unit conversion: in/m</t>
  </si>
  <si>
    <t>[unitless]</t>
  </si>
  <si>
    <t>kg/m3</t>
  </si>
  <si>
    <t>kg/m4</t>
  </si>
  <si>
    <t>kg/m5</t>
  </si>
  <si>
    <t>g/mol</t>
  </si>
  <si>
    <t>Results</t>
  </si>
  <si>
    <t>System inputs</t>
  </si>
  <si>
    <t>Starting volume</t>
  </si>
  <si>
    <t>Total CH4 emitted</t>
  </si>
  <si>
    <t>m3</t>
  </si>
  <si>
    <t>g</t>
  </si>
  <si>
    <t>Total CH4 emitted, Tower A</t>
  </si>
  <si>
    <t>Total CH4 emitted, Tower B</t>
  </si>
  <si>
    <t>Total CH4 emitted, Tower C</t>
  </si>
  <si>
    <t>Total CH4 emitted, Tower D</t>
  </si>
  <si>
    <t>kg</t>
  </si>
  <si>
    <t>CH4 emitted, as CO2</t>
  </si>
  <si>
    <t>tonne</t>
  </si>
  <si>
    <t>CH4 emitted, as CO2, per vol</t>
  </si>
  <si>
    <t>tonnes/m3</t>
  </si>
  <si>
    <t>CH4 emitted, as CO2, per mass</t>
  </si>
  <si>
    <t>tonnes/kg</t>
  </si>
  <si>
    <t>Vmax</t>
  </si>
  <si>
    <t>in/ft</t>
  </si>
  <si>
    <t>ft2</t>
  </si>
  <si>
    <t>acre-ft</t>
  </si>
  <si>
    <t>ft3</t>
  </si>
  <si>
    <t>(ft3/s)</t>
  </si>
  <si>
    <t>km3</t>
  </si>
  <si>
    <t>Surface area</t>
  </si>
  <si>
    <t>acres</t>
  </si>
  <si>
    <t>ha</t>
  </si>
  <si>
    <t>ha/km2</t>
  </si>
  <si>
    <t>ft/mi</t>
  </si>
  <si>
    <t>acre-ft/ft3</t>
  </si>
  <si>
    <t>in3/ft3</t>
  </si>
  <si>
    <t>ft2/acre</t>
  </si>
  <si>
    <t>seconds/day</t>
  </si>
  <si>
    <t>s/day</t>
  </si>
  <si>
    <t>Raw Data</t>
  </si>
  <si>
    <t>Accumulation</t>
  </si>
  <si>
    <t>(Date)</t>
  </si>
  <si>
    <t>(ft/d)</t>
  </si>
  <si>
    <t>(cfs)</t>
  </si>
  <si>
    <t>(in/day)</t>
  </si>
  <si>
    <t>Q_precip</t>
  </si>
  <si>
    <t xml:space="preserve">Q_Inflow </t>
  </si>
  <si>
    <t xml:space="preserve">Q_Outflow </t>
  </si>
  <si>
    <t>Q_Outflow</t>
  </si>
  <si>
    <t>Q_inflow</t>
  </si>
  <si>
    <t>(ft3/d)</t>
  </si>
  <si>
    <t>Res Volume</t>
  </si>
  <si>
    <t>E spill</t>
  </si>
  <si>
    <t>E Spill</t>
  </si>
  <si>
    <t>(ft3)</t>
  </si>
  <si>
    <t>(ft3/day)</t>
  </si>
  <si>
    <t>Vi</t>
  </si>
  <si>
    <t>Q_prep</t>
  </si>
  <si>
    <t>Q_out</t>
  </si>
  <si>
    <t>Accum=Input-output+sources-sinks</t>
  </si>
  <si>
    <t>Accum</t>
  </si>
  <si>
    <t>Accum=Q_inflow-Qout+Qprep-Qevap</t>
  </si>
  <si>
    <t>Q_evap =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</si>
</sst>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164" formatCode="[$-F400]h:mm:ss\ AM/PM"/>
    <numFmt numFmtId="165" formatCode="#,##0.0000"/>
    <numFmt numFmtId="166" formatCode="#,##0.0"/>
    <numFmt numFmtId="167" formatCode="&quot;$&quot;#,##0"/>
    <numFmt numFmtId="168" formatCode="&quot;$&quot;#,##0.00"/>
  </numFmts>
  <fonts count="16" x14ac:knownFonts="1">
    <font>
      <sz val="12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</font>
    <font>
      <sz val="12"/>
      <color theme="1"/>
      <name val="Century"/>
    </font>
    <font>
      <b/>
      <sz val="12"/>
      <name val="Century"/>
    </font>
    <font>
      <sz val="12"/>
      <name val="Century"/>
    </font>
    <font>
      <u/>
      <sz val="12"/>
      <name val="Century"/>
    </font>
    <font>
      <b/>
      <sz val="10"/>
      <name val="Arial"/>
      <family val="2"/>
    </font>
    <font>
      <u/>
      <sz val="8.5"/>
      <color indexed="12"/>
      <name val="Arial"/>
    </font>
    <font>
      <u/>
      <sz val="10"/>
      <color indexed="12"/>
      <name val="Arial"/>
    </font>
    <font>
      <sz val="8"/>
      <name val="Arial"/>
    </font>
    <font>
      <b/>
      <sz val="8"/>
      <name val="Arial"/>
    </font>
    <font>
      <sz val="9"/>
      <name val="Arial"/>
    </font>
    <font>
      <b/>
      <sz val="12"/>
      <color theme="1"/>
      <name val="Calibri"/>
      <family val="2"/>
      <scheme val="minor"/>
    </font>
    <font>
      <sz val="10"/>
      <color indexed="81"/>
      <name val="Calibri"/>
    </font>
    <font>
      <b/>
      <sz val="10"/>
      <color indexed="81"/>
      <name val="Calibri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</cellStyleXfs>
  <cellXfs count="90">
    <xf numFmtId="0" fontId="0" fillId="0" borderId="0" xfId="0"/>
    <xf numFmtId="0" fontId="3" fillId="3" borderId="1" xfId="0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4" fillId="3" borderId="0" xfId="0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left" indent="1"/>
    </xf>
    <xf numFmtId="0" fontId="5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horizontal="left" indent="1"/>
    </xf>
    <xf numFmtId="0" fontId="5" fillId="3" borderId="0" xfId="0" quotePrefix="1" applyFont="1" applyFill="1" applyBorder="1" applyAlignment="1">
      <alignment horizontal="left" indent="2"/>
    </xf>
    <xf numFmtId="0" fontId="0" fillId="3" borderId="1" xfId="0" applyFill="1" applyBorder="1"/>
    <xf numFmtId="0" fontId="4" fillId="3" borderId="0" xfId="0" quotePrefix="1" applyFont="1" applyFill="1" applyBorder="1" applyAlignment="1">
      <alignment horizontal="left" indent="2"/>
    </xf>
    <xf numFmtId="0" fontId="0" fillId="0" borderId="1" xfId="0" applyBorder="1"/>
    <xf numFmtId="0" fontId="0" fillId="0" borderId="0" xfId="0" applyFill="1" applyBorder="1"/>
    <xf numFmtId="0" fontId="0" fillId="0" borderId="0" xfId="0" applyFill="1"/>
    <xf numFmtId="0" fontId="2" fillId="2" borderId="0" xfId="1" applyFill="1"/>
    <xf numFmtId="0" fontId="1" fillId="2" borderId="0" xfId="1" applyFont="1" applyFill="1"/>
    <xf numFmtId="0" fontId="7" fillId="2" borderId="0" xfId="1" applyFont="1" applyFill="1"/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9" fillId="2" borderId="0" xfId="2" applyFont="1" applyFill="1" applyAlignment="1" applyProtection="1">
      <alignment horizontal="left" indent="1"/>
    </xf>
    <xf numFmtId="0" fontId="2" fillId="2" borderId="1" xfId="1" applyFill="1" applyBorder="1"/>
    <xf numFmtId="0" fontId="2" fillId="0" borderId="0" xfId="1"/>
    <xf numFmtId="0" fontId="10" fillId="0" borderId="0" xfId="1" applyFont="1" applyAlignment="1">
      <alignment horizontal="left"/>
    </xf>
    <xf numFmtId="0" fontId="7" fillId="0" borderId="1" xfId="1" applyFont="1" applyBorder="1" applyAlignment="1">
      <alignment horizontal="left"/>
    </xf>
    <xf numFmtId="0" fontId="11" fillId="0" borderId="1" xfId="1" applyFont="1" applyBorder="1" applyAlignment="1">
      <alignment horizontal="left"/>
    </xf>
    <xf numFmtId="0" fontId="2" fillId="0" borderId="2" xfId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0" xfId="1" quotePrefix="1"/>
    <xf numFmtId="0" fontId="12" fillId="0" borderId="0" xfId="1" applyFont="1" applyAlignment="1">
      <alignment horizontal="left"/>
    </xf>
    <xf numFmtId="0" fontId="2" fillId="0" borderId="3" xfId="1" applyNumberFormat="1" applyBorder="1"/>
    <xf numFmtId="0" fontId="12" fillId="0" borderId="3" xfId="1" applyFont="1" applyBorder="1" applyAlignment="1">
      <alignment horizontal="left"/>
    </xf>
    <xf numFmtId="0" fontId="2" fillId="0" borderId="0" xfId="1" applyFill="1" applyBorder="1" applyAlignment="1">
      <alignment horizontal="center"/>
    </xf>
    <xf numFmtId="0" fontId="12" fillId="4" borderId="0" xfId="1" applyFont="1" applyFill="1" applyAlignment="1">
      <alignment horizontal="left"/>
    </xf>
    <xf numFmtId="14" fontId="2" fillId="0" borderId="0" xfId="1" applyNumberFormat="1"/>
    <xf numFmtId="22" fontId="2" fillId="0" borderId="0" xfId="1" applyNumberFormat="1"/>
    <xf numFmtId="14" fontId="2" fillId="0" borderId="0" xfId="1" quotePrefix="1" applyNumberFormat="1"/>
    <xf numFmtId="3" fontId="2" fillId="0" borderId="0" xfId="1" applyNumberFormat="1"/>
    <xf numFmtId="164" fontId="2" fillId="0" borderId="0" xfId="1" applyNumberFormat="1"/>
    <xf numFmtId="165" fontId="2" fillId="0" borderId="0" xfId="1" applyNumberFormat="1"/>
    <xf numFmtId="0" fontId="2" fillId="0" borderId="0" xfId="1" applyBorder="1" applyAlignment="1">
      <alignment horizontal="left"/>
    </xf>
    <xf numFmtId="0" fontId="2" fillId="0" borderId="0" xfId="1" quotePrefix="1" applyBorder="1" applyAlignment="1"/>
    <xf numFmtId="0" fontId="2" fillId="0" borderId="0" xfId="1" applyBorder="1" applyAlignment="1"/>
    <xf numFmtId="0" fontId="12" fillId="0" borderId="0" xfId="1" applyFont="1" applyBorder="1" applyAlignment="1">
      <alignment horizontal="left"/>
    </xf>
    <xf numFmtId="0" fontId="2" fillId="0" borderId="4" xfId="1" applyNumberFormat="1" applyBorder="1"/>
    <xf numFmtId="0" fontId="12" fillId="0" borderId="4" xfId="1" applyFont="1" applyBorder="1" applyAlignment="1">
      <alignment horizontal="left"/>
    </xf>
    <xf numFmtId="14" fontId="2" fillId="0" borderId="0" xfId="1" applyNumberFormat="1" applyBorder="1"/>
    <xf numFmtId="164" fontId="2" fillId="0" borderId="0" xfId="1" applyNumberFormat="1" applyBorder="1"/>
    <xf numFmtId="166" fontId="2" fillId="0" borderId="2" xfId="1" applyNumberFormat="1" applyBorder="1"/>
    <xf numFmtId="0" fontId="12" fillId="0" borderId="2" xfId="1" applyFont="1" applyBorder="1" applyAlignment="1">
      <alignment horizontal="left"/>
    </xf>
    <xf numFmtId="0" fontId="2" fillId="0" borderId="0" xfId="1" applyBorder="1" applyAlignment="1">
      <alignment horizontal="left" indent="1"/>
    </xf>
    <xf numFmtId="166" fontId="2" fillId="0" borderId="0" xfId="1" applyNumberFormat="1" applyBorder="1"/>
    <xf numFmtId="0" fontId="10" fillId="0" borderId="0" xfId="1" applyFont="1" applyBorder="1" applyAlignment="1">
      <alignment horizontal="left"/>
    </xf>
    <xf numFmtId="0" fontId="2" fillId="0" borderId="0" xfId="1" applyAlignment="1">
      <alignment horizontal="center"/>
    </xf>
    <xf numFmtId="8" fontId="2" fillId="0" borderId="0" xfId="1" quotePrefix="1" applyNumberFormat="1"/>
    <xf numFmtId="9" fontId="2" fillId="0" borderId="0" xfId="1" applyNumberFormat="1"/>
    <xf numFmtId="167" fontId="2" fillId="0" borderId="0" xfId="1" applyNumberFormat="1"/>
    <xf numFmtId="168" fontId="2" fillId="0" borderId="0" xfId="1" applyNumberFormat="1"/>
    <xf numFmtId="0" fontId="2" fillId="0" borderId="0" xfId="1" applyFill="1" applyBorder="1" applyAlignment="1"/>
    <xf numFmtId="9" fontId="0" fillId="0" borderId="0" xfId="3" applyFont="1" applyFill="1" applyBorder="1" applyAlignment="1"/>
    <xf numFmtId="168" fontId="2" fillId="0" borderId="3" xfId="1" applyNumberFormat="1" applyBorder="1"/>
    <xf numFmtId="11" fontId="0" fillId="0" borderId="0" xfId="0" applyNumberFormat="1"/>
    <xf numFmtId="0" fontId="0" fillId="0" borderId="0" xfId="0" applyAlignment="1">
      <alignment horizontal="right"/>
    </xf>
    <xf numFmtId="0" fontId="0" fillId="5" borderId="0" xfId="0" applyFill="1"/>
    <xf numFmtId="11" fontId="0" fillId="5" borderId="0" xfId="0" applyNumberFormat="1" applyFill="1"/>
    <xf numFmtId="0" fontId="0" fillId="5" borderId="0" xfId="0" applyFill="1" applyAlignment="1">
      <alignment horizontal="right"/>
    </xf>
    <xf numFmtId="0" fontId="0" fillId="0" borderId="0" xfId="0" applyBorder="1"/>
    <xf numFmtId="0" fontId="0" fillId="6" borderId="0" xfId="0" applyFill="1"/>
    <xf numFmtId="11" fontId="0" fillId="6" borderId="0" xfId="0" applyNumberFormat="1" applyFill="1"/>
    <xf numFmtId="0" fontId="0" fillId="6" borderId="0" xfId="0" applyFill="1" applyAlignment="1">
      <alignment horizontal="right"/>
    </xf>
    <xf numFmtId="0" fontId="13" fillId="0" borderId="0" xfId="0" applyFont="1"/>
    <xf numFmtId="14" fontId="0" fillId="7" borderId="0" xfId="0" applyNumberFormat="1" applyFill="1"/>
    <xf numFmtId="0" fontId="0" fillId="7" borderId="0" xfId="0" applyFill="1"/>
    <xf numFmtId="14" fontId="0" fillId="0" borderId="0" xfId="0" applyNumberForma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1" fontId="0" fillId="8" borderId="13" xfId="0" applyNumberFormat="1" applyFill="1" applyBorder="1"/>
    <xf numFmtId="11" fontId="0" fillId="9" borderId="0" xfId="0" applyNumberFormat="1" applyFill="1"/>
    <xf numFmtId="11" fontId="0" fillId="10" borderId="0" xfId="0" applyNumberFormat="1" applyFill="1"/>
    <xf numFmtId="0" fontId="0" fillId="0" borderId="0" xfId="0" applyAlignment="1">
      <alignment horizontal="center"/>
    </xf>
    <xf numFmtId="0" fontId="2" fillId="0" borderId="3" xfId="1" applyBorder="1" applyAlignment="1"/>
    <xf numFmtId="0" fontId="2" fillId="0" borderId="4" xfId="1" applyBorder="1" applyAlignment="1"/>
    <xf numFmtId="0" fontId="2" fillId="0" borderId="0" xfId="1" applyBorder="1" applyAlignment="1">
      <alignment horizontal="left" indent="1"/>
    </xf>
    <xf numFmtId="0" fontId="2" fillId="0" borderId="2" xfId="1" applyBorder="1" applyAlignment="1">
      <alignment horizontal="left" indent="1"/>
    </xf>
  </cellXfs>
  <cellStyles count="4">
    <cellStyle name="Hyperlink" xfId="2" builtinId="8"/>
    <cellStyle name="Normal" xfId="0" builtinId="0"/>
    <cellStyle name="Normal 2" xfId="1" xr:uid="{00000000-0005-0000-0000-000002000000}"/>
    <cellStyle name="Percent 2" xfId="3" xr:uid="{00000000-0005-0000-0000-00000300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Oroville Water</a:t>
            </a:r>
            <a:r>
              <a:rPr lang="en-US" baseline="0"/>
              <a:t> Accumulation Febuary 2017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Oroville!$G$21</c:f>
              <c:strCache>
                <c:ptCount val="1"/>
                <c:pt idx="0">
                  <c:v>Q_Outflow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Oroville!$F$23:$F$50</c:f>
              <c:numCache>
                <c:formatCode>m/d/yyyy</c:formatCode>
                <c:ptCount val="28"/>
                <c:pt idx="0">
                  <c:v>42767</c:v>
                </c:pt>
                <c:pt idx="1">
                  <c:v>42768</c:v>
                </c:pt>
                <c:pt idx="2">
                  <c:v>42769</c:v>
                </c:pt>
                <c:pt idx="3">
                  <c:v>42770</c:v>
                </c:pt>
                <c:pt idx="4">
                  <c:v>42771</c:v>
                </c:pt>
                <c:pt idx="5">
                  <c:v>42772</c:v>
                </c:pt>
                <c:pt idx="6">
                  <c:v>42773</c:v>
                </c:pt>
                <c:pt idx="7">
                  <c:v>42774</c:v>
                </c:pt>
                <c:pt idx="8">
                  <c:v>42775</c:v>
                </c:pt>
                <c:pt idx="9">
                  <c:v>42776</c:v>
                </c:pt>
                <c:pt idx="10">
                  <c:v>42777</c:v>
                </c:pt>
                <c:pt idx="11">
                  <c:v>42778</c:v>
                </c:pt>
                <c:pt idx="12">
                  <c:v>42779</c:v>
                </c:pt>
                <c:pt idx="13">
                  <c:v>42780</c:v>
                </c:pt>
                <c:pt idx="14">
                  <c:v>42781</c:v>
                </c:pt>
                <c:pt idx="15">
                  <c:v>42782</c:v>
                </c:pt>
                <c:pt idx="16">
                  <c:v>42783</c:v>
                </c:pt>
                <c:pt idx="17">
                  <c:v>42784</c:v>
                </c:pt>
                <c:pt idx="18">
                  <c:v>42785</c:v>
                </c:pt>
                <c:pt idx="19">
                  <c:v>42786</c:v>
                </c:pt>
                <c:pt idx="20">
                  <c:v>42787</c:v>
                </c:pt>
                <c:pt idx="21">
                  <c:v>42788</c:v>
                </c:pt>
                <c:pt idx="22">
                  <c:v>42789</c:v>
                </c:pt>
                <c:pt idx="23">
                  <c:v>42790</c:v>
                </c:pt>
                <c:pt idx="24">
                  <c:v>42791</c:v>
                </c:pt>
                <c:pt idx="25">
                  <c:v>42792</c:v>
                </c:pt>
                <c:pt idx="26">
                  <c:v>42793</c:v>
                </c:pt>
                <c:pt idx="27">
                  <c:v>42794</c:v>
                </c:pt>
              </c:numCache>
            </c:numRef>
          </c:cat>
          <c:val>
            <c:numRef>
              <c:f>Oroville!$G$23:$G$50</c:f>
              <c:numCache>
                <c:formatCode>0.00E+00</c:formatCode>
                <c:ptCount val="28"/>
                <c:pt idx="0">
                  <c:v>20187</c:v>
                </c:pt>
                <c:pt idx="1">
                  <c:v>20463</c:v>
                </c:pt>
                <c:pt idx="2">
                  <c:v>25772</c:v>
                </c:pt>
                <c:pt idx="3">
                  <c:v>30014</c:v>
                </c:pt>
                <c:pt idx="4">
                  <c:v>29911</c:v>
                </c:pt>
                <c:pt idx="5">
                  <c:v>38741</c:v>
                </c:pt>
                <c:pt idx="6">
                  <c:v>27425</c:v>
                </c:pt>
                <c:pt idx="7">
                  <c:v>11687</c:v>
                </c:pt>
                <c:pt idx="8">
                  <c:v>34253</c:v>
                </c:pt>
                <c:pt idx="9">
                  <c:v>60697</c:v>
                </c:pt>
                <c:pt idx="10">
                  <c:v>59472</c:v>
                </c:pt>
                <c:pt idx="11">
                  <c:v>69131</c:v>
                </c:pt>
                <c:pt idx="12">
                  <c:v>99999</c:v>
                </c:pt>
                <c:pt idx="13">
                  <c:v>99999</c:v>
                </c:pt>
                <c:pt idx="14">
                  <c:v>99999</c:v>
                </c:pt>
                <c:pt idx="15">
                  <c:v>89999</c:v>
                </c:pt>
                <c:pt idx="16">
                  <c:v>76040</c:v>
                </c:pt>
                <c:pt idx="17">
                  <c:v>62499</c:v>
                </c:pt>
                <c:pt idx="18">
                  <c:v>57083</c:v>
                </c:pt>
                <c:pt idx="19">
                  <c:v>59999</c:v>
                </c:pt>
                <c:pt idx="20">
                  <c:v>59999</c:v>
                </c:pt>
                <c:pt idx="21">
                  <c:v>59999</c:v>
                </c:pt>
                <c:pt idx="22">
                  <c:v>55416</c:v>
                </c:pt>
                <c:pt idx="23">
                  <c:v>50000</c:v>
                </c:pt>
                <c:pt idx="24">
                  <c:v>50000</c:v>
                </c:pt>
                <c:pt idx="25">
                  <c:v>50000</c:v>
                </c:pt>
                <c:pt idx="26">
                  <c:v>23541</c:v>
                </c:pt>
                <c:pt idx="2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91-435F-A8C2-C6B80FC76756}"/>
            </c:ext>
          </c:extLst>
        </c:ser>
        <c:ser>
          <c:idx val="1"/>
          <c:order val="1"/>
          <c:tx>
            <c:strRef>
              <c:f>Oroville!$I$21</c:f>
              <c:strCache>
                <c:ptCount val="1"/>
                <c:pt idx="0">
                  <c:v>Q_precip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Oroville!$F$23:$F$50</c:f>
              <c:numCache>
                <c:formatCode>m/d/yyyy</c:formatCode>
                <c:ptCount val="28"/>
                <c:pt idx="0">
                  <c:v>42767</c:v>
                </c:pt>
                <c:pt idx="1">
                  <c:v>42768</c:v>
                </c:pt>
                <c:pt idx="2">
                  <c:v>42769</c:v>
                </c:pt>
                <c:pt idx="3">
                  <c:v>42770</c:v>
                </c:pt>
                <c:pt idx="4">
                  <c:v>42771</c:v>
                </c:pt>
                <c:pt idx="5">
                  <c:v>42772</c:v>
                </c:pt>
                <c:pt idx="6">
                  <c:v>42773</c:v>
                </c:pt>
                <c:pt idx="7">
                  <c:v>42774</c:v>
                </c:pt>
                <c:pt idx="8">
                  <c:v>42775</c:v>
                </c:pt>
                <c:pt idx="9">
                  <c:v>42776</c:v>
                </c:pt>
                <c:pt idx="10">
                  <c:v>42777</c:v>
                </c:pt>
                <c:pt idx="11">
                  <c:v>42778</c:v>
                </c:pt>
                <c:pt idx="12">
                  <c:v>42779</c:v>
                </c:pt>
                <c:pt idx="13">
                  <c:v>42780</c:v>
                </c:pt>
                <c:pt idx="14">
                  <c:v>42781</c:v>
                </c:pt>
                <c:pt idx="15">
                  <c:v>42782</c:v>
                </c:pt>
                <c:pt idx="16">
                  <c:v>42783</c:v>
                </c:pt>
                <c:pt idx="17">
                  <c:v>42784</c:v>
                </c:pt>
                <c:pt idx="18">
                  <c:v>42785</c:v>
                </c:pt>
                <c:pt idx="19">
                  <c:v>42786</c:v>
                </c:pt>
                <c:pt idx="20">
                  <c:v>42787</c:v>
                </c:pt>
                <c:pt idx="21">
                  <c:v>42788</c:v>
                </c:pt>
                <c:pt idx="22">
                  <c:v>42789</c:v>
                </c:pt>
                <c:pt idx="23">
                  <c:v>42790</c:v>
                </c:pt>
                <c:pt idx="24">
                  <c:v>42791</c:v>
                </c:pt>
                <c:pt idx="25">
                  <c:v>42792</c:v>
                </c:pt>
                <c:pt idx="26">
                  <c:v>42793</c:v>
                </c:pt>
                <c:pt idx="27">
                  <c:v>42794</c:v>
                </c:pt>
              </c:numCache>
            </c:numRef>
          </c:cat>
          <c:val>
            <c:numRef>
              <c:f>Oroville!$I$23:$I$50</c:f>
              <c:numCache>
                <c:formatCode>0.00E+00</c:formatCode>
                <c:ptCount val="28"/>
                <c:pt idx="0">
                  <c:v>0</c:v>
                </c:pt>
                <c:pt idx="1">
                  <c:v>318.73416666666668</c:v>
                </c:pt>
                <c:pt idx="2">
                  <c:v>0</c:v>
                </c:pt>
                <c:pt idx="3">
                  <c:v>79.68354166666667</c:v>
                </c:pt>
                <c:pt idx="4">
                  <c:v>584.34597222222226</c:v>
                </c:pt>
                <c:pt idx="5">
                  <c:v>982.76368055555554</c:v>
                </c:pt>
                <c:pt idx="6">
                  <c:v>265.61180555555558</c:v>
                </c:pt>
                <c:pt idx="7">
                  <c:v>743.71305555555557</c:v>
                </c:pt>
                <c:pt idx="8">
                  <c:v>1354.6202083333335</c:v>
                </c:pt>
                <c:pt idx="9">
                  <c:v>106.24472222222222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345.29534722222223</c:v>
                </c:pt>
                <c:pt idx="16">
                  <c:v>956.20249999999999</c:v>
                </c:pt>
                <c:pt idx="17">
                  <c:v>345.29534722222223</c:v>
                </c:pt>
                <c:pt idx="18">
                  <c:v>265.61180555555558</c:v>
                </c:pt>
                <c:pt idx="19">
                  <c:v>1115.5695833333332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91-435F-A8C2-C6B80FC76756}"/>
            </c:ext>
          </c:extLst>
        </c:ser>
        <c:ser>
          <c:idx val="2"/>
          <c:order val="2"/>
          <c:tx>
            <c:strRef>
              <c:f>Oroville!$J$21</c:f>
              <c:strCache>
                <c:ptCount val="1"/>
                <c:pt idx="0">
                  <c:v>Q_inflow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Oroville!$F$23:$F$50</c:f>
              <c:numCache>
                <c:formatCode>m/d/yyyy</c:formatCode>
                <c:ptCount val="28"/>
                <c:pt idx="0">
                  <c:v>42767</c:v>
                </c:pt>
                <c:pt idx="1">
                  <c:v>42768</c:v>
                </c:pt>
                <c:pt idx="2">
                  <c:v>42769</c:v>
                </c:pt>
                <c:pt idx="3">
                  <c:v>42770</c:v>
                </c:pt>
                <c:pt idx="4">
                  <c:v>42771</c:v>
                </c:pt>
                <c:pt idx="5">
                  <c:v>42772</c:v>
                </c:pt>
                <c:pt idx="6">
                  <c:v>42773</c:v>
                </c:pt>
                <c:pt idx="7">
                  <c:v>42774</c:v>
                </c:pt>
                <c:pt idx="8">
                  <c:v>42775</c:v>
                </c:pt>
                <c:pt idx="9">
                  <c:v>42776</c:v>
                </c:pt>
                <c:pt idx="10">
                  <c:v>42777</c:v>
                </c:pt>
                <c:pt idx="11">
                  <c:v>42778</c:v>
                </c:pt>
                <c:pt idx="12">
                  <c:v>42779</c:v>
                </c:pt>
                <c:pt idx="13">
                  <c:v>42780</c:v>
                </c:pt>
                <c:pt idx="14">
                  <c:v>42781</c:v>
                </c:pt>
                <c:pt idx="15">
                  <c:v>42782</c:v>
                </c:pt>
                <c:pt idx="16">
                  <c:v>42783</c:v>
                </c:pt>
                <c:pt idx="17">
                  <c:v>42784</c:v>
                </c:pt>
                <c:pt idx="18">
                  <c:v>42785</c:v>
                </c:pt>
                <c:pt idx="19">
                  <c:v>42786</c:v>
                </c:pt>
                <c:pt idx="20">
                  <c:v>42787</c:v>
                </c:pt>
                <c:pt idx="21">
                  <c:v>42788</c:v>
                </c:pt>
                <c:pt idx="22">
                  <c:v>42789</c:v>
                </c:pt>
                <c:pt idx="23">
                  <c:v>42790</c:v>
                </c:pt>
                <c:pt idx="24">
                  <c:v>42791</c:v>
                </c:pt>
                <c:pt idx="25">
                  <c:v>42792</c:v>
                </c:pt>
                <c:pt idx="26">
                  <c:v>42793</c:v>
                </c:pt>
                <c:pt idx="27">
                  <c:v>42794</c:v>
                </c:pt>
              </c:numCache>
            </c:numRef>
          </c:cat>
          <c:val>
            <c:numRef>
              <c:f>Oroville!$J$23:$J$50</c:f>
              <c:numCache>
                <c:formatCode>0.00E+00</c:formatCode>
                <c:ptCount val="28"/>
                <c:pt idx="0">
                  <c:v>8644</c:v>
                </c:pt>
                <c:pt idx="1">
                  <c:v>9381</c:v>
                </c:pt>
                <c:pt idx="2">
                  <c:v>20210</c:v>
                </c:pt>
                <c:pt idx="3">
                  <c:v>36027</c:v>
                </c:pt>
                <c:pt idx="4">
                  <c:v>30856</c:v>
                </c:pt>
                <c:pt idx="5">
                  <c:v>48795</c:v>
                </c:pt>
                <c:pt idx="6">
                  <c:v>106845</c:v>
                </c:pt>
                <c:pt idx="7">
                  <c:v>101841</c:v>
                </c:pt>
                <c:pt idx="8">
                  <c:v>155498</c:v>
                </c:pt>
                <c:pt idx="9">
                  <c:v>127679</c:v>
                </c:pt>
                <c:pt idx="10">
                  <c:v>84437</c:v>
                </c:pt>
                <c:pt idx="11">
                  <c:v>69167</c:v>
                </c:pt>
                <c:pt idx="12">
                  <c:v>14441</c:v>
                </c:pt>
                <c:pt idx="13">
                  <c:v>28388</c:v>
                </c:pt>
                <c:pt idx="14">
                  <c:v>25032</c:v>
                </c:pt>
                <c:pt idx="15">
                  <c:v>26535</c:v>
                </c:pt>
                <c:pt idx="16">
                  <c:v>29364</c:v>
                </c:pt>
                <c:pt idx="17">
                  <c:v>39131</c:v>
                </c:pt>
                <c:pt idx="18">
                  <c:v>35733</c:v>
                </c:pt>
                <c:pt idx="19">
                  <c:v>61271</c:v>
                </c:pt>
                <c:pt idx="20">
                  <c:v>76938</c:v>
                </c:pt>
                <c:pt idx="21">
                  <c:v>55568</c:v>
                </c:pt>
                <c:pt idx="22">
                  <c:v>41276</c:v>
                </c:pt>
                <c:pt idx="23">
                  <c:v>32259</c:v>
                </c:pt>
                <c:pt idx="24">
                  <c:v>26893</c:v>
                </c:pt>
                <c:pt idx="25">
                  <c:v>22843</c:v>
                </c:pt>
                <c:pt idx="26">
                  <c:v>19884</c:v>
                </c:pt>
                <c:pt idx="27">
                  <c:v>19700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91-435F-A8C2-C6B80FC76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408816"/>
        <c:axId val="660393008"/>
      </c:lineChart>
      <c:dateAx>
        <c:axId val="6604088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0393008"/>
        <c:crosses val="autoZero"/>
        <c:auto val="1"/>
        <c:lblOffset val="100"/>
        <c:baseTimeUnit val="days"/>
      </c:dateAx>
      <c:valAx>
        <c:axId val="66039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Feet of Change /</a:t>
                </a:r>
                <a:r>
                  <a:rPr lang="en-US" baseline="0"/>
                  <a:t> Second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040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94B695E-46F5-4424-8EE6-FE5991C10DDE}">
  <sheetPr/>
  <sheetViews>
    <sheetView tabSelected="1" zoomScale="8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6674" cy="628207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D28AEB-4FA9-4709-8BBE-44384DDC078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8</xdr:row>
      <xdr:rowOff>25400</xdr:rowOff>
    </xdr:from>
    <xdr:to>
      <xdr:col>6</xdr:col>
      <xdr:colOff>774700</xdr:colOff>
      <xdr:row>8</xdr:row>
      <xdr:rowOff>25400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>
          <a:off x="5727700" y="1689100"/>
          <a:ext cx="736600" cy="0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</xdr:colOff>
      <xdr:row>8</xdr:row>
      <xdr:rowOff>25400</xdr:rowOff>
    </xdr:from>
    <xdr:to>
      <xdr:col>10</xdr:col>
      <xdr:colOff>762000</xdr:colOff>
      <xdr:row>8</xdr:row>
      <xdr:rowOff>25400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>
          <a:off x="9169400" y="1689100"/>
          <a:ext cx="736600" cy="0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723900</xdr:colOff>
      <xdr:row>1</xdr:row>
      <xdr:rowOff>203200</xdr:rowOff>
    </xdr:from>
    <xdr:to>
      <xdr:col>7</xdr:col>
      <xdr:colOff>723900</xdr:colOff>
      <xdr:row>4</xdr:row>
      <xdr:rowOff>190500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>
          <a:off x="7239000" y="419100"/>
          <a:ext cx="0" cy="609600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812800</xdr:colOff>
      <xdr:row>2</xdr:row>
      <xdr:rowOff>12700</xdr:rowOff>
    </xdr:from>
    <xdr:to>
      <xdr:col>8</xdr:col>
      <xdr:colOff>825500</xdr:colOff>
      <xdr:row>4</xdr:row>
      <xdr:rowOff>190500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H="1" flipV="1">
          <a:off x="8153400" y="444500"/>
          <a:ext cx="12700" cy="584200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office.microsoft.com/en-us/excel-help/excel-functions-by-category-HP005204211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5"/>
  <sheetViews>
    <sheetView topLeftCell="A8" workbookViewId="0">
      <selection activeCell="G25" sqref="G25"/>
    </sheetView>
  </sheetViews>
  <sheetFormatPr defaultColWidth="11.19921875" defaultRowHeight="15.6" x14ac:dyDescent="0.3"/>
  <cols>
    <col min="1" max="1" width="3.5" customWidth="1"/>
    <col min="2" max="2" width="26.19921875" customWidth="1"/>
    <col min="5" max="5" width="6" customWidth="1"/>
    <col min="6" max="6" width="26.5" customWidth="1"/>
    <col min="9" max="9" width="5.296875" customWidth="1"/>
    <col min="13" max="13" width="6.69921875" customWidth="1"/>
    <col min="16" max="16" width="10.796875" style="14"/>
  </cols>
  <sheetData>
    <row r="1" spans="1:16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3"/>
      <c r="O1" s="3"/>
      <c r="P1" s="13"/>
    </row>
    <row r="2" spans="1:16" x14ac:dyDescent="0.3">
      <c r="A2" s="2"/>
      <c r="B2" s="4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3"/>
      <c r="N2" s="3"/>
      <c r="O2" s="3"/>
      <c r="P2" s="13"/>
    </row>
    <row r="3" spans="1:16" x14ac:dyDescent="0.3">
      <c r="A3" s="5"/>
      <c r="B3" s="6"/>
      <c r="C3" s="7"/>
      <c r="D3" s="5"/>
      <c r="E3" s="5"/>
      <c r="F3" s="5"/>
      <c r="G3" s="5"/>
      <c r="H3" s="5"/>
      <c r="I3" s="5"/>
      <c r="J3" s="5"/>
      <c r="K3" s="5"/>
      <c r="L3" s="5"/>
      <c r="M3" s="3"/>
      <c r="N3" s="3"/>
      <c r="O3" s="3"/>
      <c r="P3" s="13"/>
    </row>
    <row r="4" spans="1:16" x14ac:dyDescent="0.3">
      <c r="A4" s="5"/>
      <c r="B4" s="7" t="s">
        <v>14</v>
      </c>
      <c r="C4" s="5"/>
      <c r="D4" s="5"/>
      <c r="E4" s="5"/>
      <c r="F4" s="5"/>
      <c r="G4" s="5"/>
      <c r="H4" s="5"/>
      <c r="I4" s="5"/>
      <c r="J4" s="5"/>
      <c r="K4" s="5"/>
      <c r="L4" s="5"/>
      <c r="M4" s="3"/>
      <c r="N4" s="3"/>
      <c r="O4" s="3"/>
      <c r="P4" s="13"/>
    </row>
    <row r="5" spans="1:16" x14ac:dyDescent="0.3">
      <c r="A5" s="5"/>
      <c r="B5" s="7"/>
      <c r="C5" s="5"/>
      <c r="D5" s="5"/>
      <c r="E5" s="5"/>
      <c r="F5" s="5"/>
      <c r="G5" s="5"/>
      <c r="H5" s="5"/>
      <c r="I5" s="5"/>
      <c r="J5" s="5"/>
      <c r="K5" s="5"/>
      <c r="L5" s="5"/>
      <c r="M5" s="3"/>
      <c r="N5" s="3"/>
      <c r="O5" s="3"/>
      <c r="P5" s="13"/>
    </row>
    <row r="6" spans="1:16" x14ac:dyDescent="0.3">
      <c r="A6" s="5"/>
      <c r="B6" s="8" t="s">
        <v>1</v>
      </c>
      <c r="C6" s="7"/>
      <c r="D6" s="5"/>
      <c r="E6" s="5"/>
      <c r="F6" s="5"/>
      <c r="G6" s="5"/>
      <c r="H6" s="5"/>
      <c r="I6" s="5"/>
      <c r="J6" s="5"/>
      <c r="K6" s="5"/>
      <c r="L6" s="5"/>
      <c r="M6" s="3"/>
      <c r="N6" s="3"/>
      <c r="O6" s="3"/>
      <c r="P6" s="13"/>
    </row>
    <row r="7" spans="1:16" x14ac:dyDescent="0.3">
      <c r="A7" s="5"/>
      <c r="B7" s="9" t="s">
        <v>2</v>
      </c>
      <c r="C7" s="7"/>
      <c r="D7" s="5"/>
      <c r="E7" s="5"/>
      <c r="F7" s="5"/>
      <c r="G7" s="5"/>
      <c r="H7" s="5"/>
      <c r="I7" s="5"/>
      <c r="J7" s="5"/>
      <c r="K7" s="5"/>
      <c r="L7" s="5"/>
      <c r="M7" s="3"/>
      <c r="N7" s="3"/>
      <c r="O7" s="3"/>
      <c r="P7" s="13"/>
    </row>
    <row r="8" spans="1:16" x14ac:dyDescent="0.3">
      <c r="A8" s="5"/>
      <c r="B8" s="9" t="s">
        <v>3</v>
      </c>
      <c r="C8" s="7"/>
      <c r="D8" s="5"/>
      <c r="E8" s="5"/>
      <c r="F8" s="5"/>
      <c r="G8" s="5"/>
      <c r="H8" s="5"/>
      <c r="I8" s="5"/>
      <c r="J8" s="5"/>
      <c r="K8" s="5"/>
      <c r="L8" s="5"/>
      <c r="M8" s="3"/>
      <c r="N8" s="3"/>
      <c r="O8" s="3"/>
      <c r="P8" s="13"/>
    </row>
    <row r="9" spans="1:16" x14ac:dyDescent="0.3">
      <c r="A9" s="5"/>
      <c r="B9" s="9" t="s">
        <v>4</v>
      </c>
      <c r="C9" s="7"/>
      <c r="D9" s="5"/>
      <c r="E9" s="5"/>
      <c r="F9" s="5"/>
      <c r="G9" s="5"/>
      <c r="H9" s="5"/>
      <c r="I9" s="5"/>
      <c r="J9" s="5"/>
      <c r="K9" s="5"/>
      <c r="L9" s="5"/>
      <c r="M9" s="3"/>
      <c r="N9" s="3"/>
      <c r="O9" s="3"/>
      <c r="P9" s="13"/>
    </row>
    <row r="10" spans="1:16" x14ac:dyDescent="0.3">
      <c r="A10" s="5"/>
      <c r="B10" s="8" t="s">
        <v>5</v>
      </c>
      <c r="C10" s="7"/>
      <c r="D10" s="5"/>
      <c r="E10" s="5"/>
      <c r="F10" s="5"/>
      <c r="G10" s="5"/>
      <c r="H10" s="5"/>
      <c r="I10" s="5"/>
      <c r="J10" s="5"/>
      <c r="K10" s="5"/>
      <c r="L10" s="5"/>
      <c r="M10" s="3"/>
      <c r="N10" s="3"/>
      <c r="O10" s="3"/>
      <c r="P10" s="13"/>
    </row>
    <row r="11" spans="1:16" x14ac:dyDescent="0.3">
      <c r="A11" s="5"/>
      <c r="B11" s="9" t="s">
        <v>6</v>
      </c>
      <c r="C11" s="7"/>
      <c r="D11" s="5"/>
      <c r="E11" s="5"/>
      <c r="F11" s="5"/>
      <c r="G11" s="5"/>
      <c r="H11" s="5"/>
      <c r="I11" s="5"/>
      <c r="J11" s="5"/>
      <c r="K11" s="5"/>
      <c r="L11" s="5"/>
      <c r="M11" s="3"/>
      <c r="N11" s="3"/>
      <c r="O11" s="3"/>
      <c r="P11" s="13"/>
    </row>
    <row r="12" spans="1:16" x14ac:dyDescent="0.3">
      <c r="A12" s="5"/>
      <c r="B12" s="9" t="s">
        <v>7</v>
      </c>
      <c r="C12" s="7"/>
      <c r="D12" s="5"/>
      <c r="E12" s="5"/>
      <c r="F12" s="5"/>
      <c r="G12" s="5"/>
      <c r="H12" s="5"/>
      <c r="I12" s="5"/>
      <c r="J12" s="5"/>
      <c r="K12" s="5"/>
      <c r="L12" s="5"/>
      <c r="M12" s="3"/>
      <c r="N12" s="3"/>
      <c r="O12" s="3"/>
      <c r="P12" s="13"/>
    </row>
    <row r="13" spans="1:16" x14ac:dyDescent="0.3">
      <c r="A13" s="5"/>
      <c r="B13" s="9" t="s">
        <v>8</v>
      </c>
      <c r="C13" s="7"/>
      <c r="D13" s="5"/>
      <c r="E13" s="5"/>
      <c r="F13" s="5"/>
      <c r="G13" s="5"/>
      <c r="H13" s="5"/>
      <c r="I13" s="5"/>
      <c r="J13" s="5"/>
      <c r="K13" s="5"/>
      <c r="L13" s="5"/>
      <c r="M13" s="3"/>
      <c r="N13" s="3"/>
      <c r="O13" s="3"/>
      <c r="P13" s="13"/>
    </row>
    <row r="14" spans="1:16" x14ac:dyDescent="0.3">
      <c r="A14" s="5"/>
      <c r="B14" s="9" t="s">
        <v>15</v>
      </c>
      <c r="C14" s="7"/>
      <c r="D14" s="5"/>
      <c r="E14" s="5"/>
      <c r="F14" s="5"/>
      <c r="G14" s="5"/>
      <c r="H14" s="5"/>
      <c r="I14" s="5"/>
      <c r="J14" s="5"/>
      <c r="K14" s="5"/>
      <c r="L14" s="5"/>
      <c r="M14" s="3"/>
      <c r="N14" s="3"/>
      <c r="O14" s="3"/>
      <c r="P14" s="13"/>
    </row>
    <row r="15" spans="1:16" x14ac:dyDescent="0.3">
      <c r="A15" s="5"/>
      <c r="B15" s="9" t="s">
        <v>16</v>
      </c>
      <c r="C15" s="7"/>
      <c r="D15" s="5"/>
      <c r="E15" s="5"/>
      <c r="F15" s="5"/>
      <c r="G15" s="5"/>
      <c r="H15" s="5"/>
      <c r="I15" s="5"/>
      <c r="J15" s="5"/>
      <c r="K15" s="5"/>
      <c r="L15" s="5"/>
      <c r="M15" s="3"/>
      <c r="N15" s="3"/>
      <c r="O15" s="3"/>
      <c r="P15" s="13"/>
    </row>
    <row r="16" spans="1:16" x14ac:dyDescent="0.3">
      <c r="A16" s="5"/>
      <c r="B16" s="8" t="s">
        <v>9</v>
      </c>
      <c r="C16" s="7"/>
      <c r="D16" s="5"/>
      <c r="E16" s="5"/>
      <c r="F16" s="5"/>
      <c r="G16" s="5"/>
      <c r="H16" s="5"/>
      <c r="I16" s="5"/>
      <c r="J16" s="5"/>
      <c r="K16" s="5"/>
      <c r="L16" s="5"/>
      <c r="M16" s="3"/>
      <c r="N16" s="3"/>
      <c r="O16" s="3"/>
      <c r="P16" s="13"/>
    </row>
    <row r="17" spans="1:16" x14ac:dyDescent="0.3">
      <c r="A17" s="5"/>
      <c r="B17" s="11" t="s">
        <v>10</v>
      </c>
      <c r="C17" s="7"/>
      <c r="D17" s="5"/>
      <c r="E17" s="5"/>
      <c r="F17" s="5"/>
      <c r="G17" s="5"/>
      <c r="H17" s="5"/>
      <c r="I17" s="5"/>
      <c r="J17" s="5"/>
      <c r="K17" s="5"/>
      <c r="L17" s="5"/>
      <c r="M17" s="3"/>
      <c r="N17" s="3"/>
      <c r="O17" s="3"/>
      <c r="P17" s="13"/>
    </row>
    <row r="18" spans="1:16" x14ac:dyDescent="0.3">
      <c r="A18" s="5"/>
      <c r="B18" s="9" t="s">
        <v>11</v>
      </c>
      <c r="C18" s="7"/>
      <c r="D18" s="5"/>
      <c r="E18" s="5"/>
      <c r="F18" s="5"/>
      <c r="G18" s="5"/>
      <c r="H18" s="5"/>
      <c r="I18" s="5"/>
      <c r="J18" s="5"/>
      <c r="K18" s="5"/>
      <c r="L18" s="5"/>
      <c r="M18" s="3"/>
      <c r="N18" s="3"/>
      <c r="O18" s="3"/>
      <c r="P18" s="13"/>
    </row>
    <row r="19" spans="1:16" x14ac:dyDescent="0.3">
      <c r="A19" s="5"/>
      <c r="B19" s="8" t="s">
        <v>12</v>
      </c>
      <c r="C19" s="7"/>
      <c r="D19" s="5"/>
      <c r="E19" s="5"/>
      <c r="F19" s="5"/>
      <c r="G19" s="5"/>
      <c r="H19" s="5"/>
      <c r="I19" s="5"/>
      <c r="J19" s="5"/>
      <c r="K19" s="5"/>
      <c r="L19" s="5"/>
      <c r="M19" s="3"/>
      <c r="N19" s="3"/>
      <c r="O19" s="3"/>
      <c r="P19" s="13"/>
    </row>
    <row r="20" spans="1:16" x14ac:dyDescent="0.3">
      <c r="A20" s="5"/>
      <c r="B20" s="9" t="s">
        <v>17</v>
      </c>
      <c r="C20" s="7"/>
      <c r="D20" s="5"/>
      <c r="E20" s="5"/>
      <c r="F20" s="5"/>
      <c r="G20" s="5"/>
      <c r="H20" s="5"/>
      <c r="I20" s="5"/>
      <c r="J20" s="5"/>
      <c r="K20" s="5"/>
      <c r="L20" s="5"/>
      <c r="M20" s="3"/>
      <c r="N20" s="3"/>
      <c r="O20" s="3"/>
      <c r="P20" s="13"/>
    </row>
    <row r="21" spans="1:16" x14ac:dyDescent="0.3">
      <c r="A21" s="5"/>
      <c r="B21" s="9" t="s">
        <v>13</v>
      </c>
      <c r="C21" s="7"/>
      <c r="D21" s="5"/>
      <c r="E21" s="5"/>
      <c r="F21" s="5"/>
      <c r="G21" s="5"/>
      <c r="H21" s="5"/>
      <c r="I21" s="5"/>
      <c r="J21" s="5"/>
      <c r="K21" s="5"/>
      <c r="L21" s="5"/>
      <c r="M21" s="3"/>
      <c r="N21" s="3"/>
      <c r="O21" s="3"/>
      <c r="P21" s="13"/>
    </row>
    <row r="22" spans="1:16" ht="16.2" thickBot="1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0"/>
      <c r="N22" s="10"/>
      <c r="O22" s="10"/>
      <c r="P22" s="13"/>
    </row>
    <row r="23" spans="1:16" ht="16.2" thickTop="1" x14ac:dyDescent="0.3"/>
    <row r="24" spans="1:16" ht="16.2" thickBot="1" x14ac:dyDescent="0.35">
      <c r="B24" s="12" t="s">
        <v>18</v>
      </c>
      <c r="C24" s="12"/>
      <c r="D24" s="12"/>
      <c r="F24" s="12" t="s">
        <v>9</v>
      </c>
      <c r="G24" s="12"/>
      <c r="H24" s="12"/>
      <c r="J24" s="12" t="s">
        <v>240</v>
      </c>
      <c r="K24" s="12"/>
      <c r="L24" s="12"/>
      <c r="M24" s="66"/>
      <c r="N24" s="66"/>
    </row>
    <row r="25" spans="1:16" ht="16.2" thickTop="1" x14ac:dyDescent="0.3">
      <c r="B25" t="s">
        <v>218</v>
      </c>
      <c r="C25">
        <v>34</v>
      </c>
      <c r="D25" s="62" t="s">
        <v>235</v>
      </c>
      <c r="F25" t="s">
        <v>243</v>
      </c>
      <c r="G25" s="61">
        <f>SUM(C42:C45)</f>
        <v>19600</v>
      </c>
      <c r="H25" s="62" t="s">
        <v>245</v>
      </c>
      <c r="J25" s="63" t="s">
        <v>255</v>
      </c>
      <c r="K25" s="64">
        <f>G31</f>
        <v>43.555555555555557</v>
      </c>
      <c r="L25" s="65" t="s">
        <v>227</v>
      </c>
    </row>
    <row r="26" spans="1:16" x14ac:dyDescent="0.3">
      <c r="B26" t="s">
        <v>219</v>
      </c>
      <c r="C26">
        <v>298</v>
      </c>
      <c r="D26" s="62" t="s">
        <v>235</v>
      </c>
      <c r="F26" t="s">
        <v>243</v>
      </c>
      <c r="G26" s="61">
        <f>G25/C34</f>
        <v>19.600000000000001</v>
      </c>
      <c r="H26" s="62" t="s">
        <v>250</v>
      </c>
    </row>
    <row r="27" spans="1:16" x14ac:dyDescent="0.3">
      <c r="B27" t="s">
        <v>220</v>
      </c>
      <c r="C27">
        <v>1</v>
      </c>
      <c r="D27" s="62" t="s">
        <v>235</v>
      </c>
      <c r="F27" t="s">
        <v>243</v>
      </c>
      <c r="G27" s="61">
        <f>G26/C35</f>
        <v>1.9600000000000003E-2</v>
      </c>
      <c r="H27" s="62" t="s">
        <v>252</v>
      </c>
    </row>
    <row r="28" spans="1:16" x14ac:dyDescent="0.3">
      <c r="B28" t="s">
        <v>221</v>
      </c>
      <c r="C28">
        <v>450</v>
      </c>
      <c r="D28" s="62" t="s">
        <v>236</v>
      </c>
      <c r="F28" t="s">
        <v>251</v>
      </c>
      <c r="G28" s="61">
        <f>G27*C25</f>
        <v>0.6664000000000001</v>
      </c>
      <c r="H28" s="62" t="s">
        <v>252</v>
      </c>
    </row>
    <row r="29" spans="1:16" x14ac:dyDescent="0.3">
      <c r="B29" t="s">
        <v>222</v>
      </c>
      <c r="C29">
        <v>710</v>
      </c>
      <c r="D29" s="62" t="s">
        <v>237</v>
      </c>
      <c r="F29" t="s">
        <v>253</v>
      </c>
      <c r="G29" s="61">
        <f>G28/C41</f>
        <v>1.1106666666666669E-2</v>
      </c>
      <c r="H29" s="62" t="s">
        <v>254</v>
      </c>
    </row>
    <row r="30" spans="1:16" x14ac:dyDescent="0.3">
      <c r="B30" t="s">
        <v>223</v>
      </c>
      <c r="C30">
        <v>514</v>
      </c>
      <c r="D30" s="62" t="s">
        <v>238</v>
      </c>
      <c r="F30" t="s">
        <v>255</v>
      </c>
      <c r="G30" s="61">
        <f>G29/C28</f>
        <v>2.4681481481481488E-5</v>
      </c>
      <c r="H30" s="62" t="s">
        <v>256</v>
      </c>
    </row>
    <row r="31" spans="1:16" x14ac:dyDescent="0.3">
      <c r="B31" t="s">
        <v>224</v>
      </c>
      <c r="C31">
        <v>12</v>
      </c>
      <c r="D31" s="62" t="s">
        <v>239</v>
      </c>
      <c r="F31" t="s">
        <v>255</v>
      </c>
      <c r="G31" s="61">
        <f>$G$25/$C$28</f>
        <v>43.555555555555557</v>
      </c>
      <c r="H31" s="62" t="s">
        <v>227</v>
      </c>
    </row>
    <row r="32" spans="1:16" x14ac:dyDescent="0.3">
      <c r="B32" t="s">
        <v>225</v>
      </c>
      <c r="C32">
        <v>16</v>
      </c>
      <c r="D32" s="62" t="s">
        <v>239</v>
      </c>
      <c r="H32" s="62"/>
    </row>
    <row r="33" spans="2:8" x14ac:dyDescent="0.3">
      <c r="B33" t="s">
        <v>226</v>
      </c>
      <c r="C33">
        <v>1</v>
      </c>
      <c r="D33" s="62" t="s">
        <v>239</v>
      </c>
      <c r="H33" s="62"/>
    </row>
    <row r="34" spans="2:8" x14ac:dyDescent="0.3">
      <c r="B34" t="s">
        <v>231</v>
      </c>
      <c r="C34">
        <v>1000</v>
      </c>
      <c r="D34" s="62" t="s">
        <v>227</v>
      </c>
      <c r="H34" s="62"/>
    </row>
    <row r="35" spans="2:8" x14ac:dyDescent="0.3">
      <c r="B35" t="s">
        <v>232</v>
      </c>
      <c r="C35">
        <v>1000</v>
      </c>
      <c r="D35" s="62" t="s">
        <v>228</v>
      </c>
      <c r="H35" s="62"/>
    </row>
    <row r="36" spans="2:8" x14ac:dyDescent="0.3">
      <c r="B36" t="s">
        <v>233</v>
      </c>
      <c r="C36" s="61">
        <v>1000000</v>
      </c>
      <c r="D36" s="62" t="s">
        <v>229</v>
      </c>
      <c r="H36" s="62"/>
    </row>
    <row r="37" spans="2:8" x14ac:dyDescent="0.3">
      <c r="B37" t="s">
        <v>234</v>
      </c>
      <c r="C37">
        <f>2.54*0.01</f>
        <v>2.5400000000000002E-2</v>
      </c>
      <c r="D37" s="62" t="s">
        <v>230</v>
      </c>
    </row>
    <row r="40" spans="2:8" ht="16.2" thickBot="1" x14ac:dyDescent="0.35">
      <c r="B40" s="12" t="s">
        <v>241</v>
      </c>
      <c r="C40" s="12"/>
      <c r="D40" s="12"/>
    </row>
    <row r="41" spans="2:8" ht="16.2" thickTop="1" x14ac:dyDescent="0.3">
      <c r="B41" s="13" t="s">
        <v>242</v>
      </c>
      <c r="C41">
        <v>60</v>
      </c>
      <c r="D41" s="62" t="s">
        <v>244</v>
      </c>
    </row>
    <row r="42" spans="2:8" x14ac:dyDescent="0.3">
      <c r="B42" s="13" t="s">
        <v>246</v>
      </c>
      <c r="C42" s="61">
        <f>19600/4</f>
        <v>4900</v>
      </c>
      <c r="D42" s="62" t="s">
        <v>245</v>
      </c>
    </row>
    <row r="43" spans="2:8" x14ac:dyDescent="0.3">
      <c r="B43" s="13" t="s">
        <v>247</v>
      </c>
      <c r="C43" s="61">
        <f t="shared" ref="C43:C45" si="0">19600/4</f>
        <v>4900</v>
      </c>
      <c r="D43" s="62" t="s">
        <v>245</v>
      </c>
    </row>
    <row r="44" spans="2:8" x14ac:dyDescent="0.3">
      <c r="B44" s="13" t="s">
        <v>248</v>
      </c>
      <c r="C44" s="61">
        <f t="shared" si="0"/>
        <v>4900</v>
      </c>
      <c r="D44" s="62" t="s">
        <v>245</v>
      </c>
    </row>
    <row r="45" spans="2:8" x14ac:dyDescent="0.3">
      <c r="B45" s="13" t="s">
        <v>249</v>
      </c>
      <c r="C45" s="61">
        <f t="shared" si="0"/>
        <v>4900</v>
      </c>
      <c r="D45" s="62" t="s">
        <v>245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1"/>
  <sheetViews>
    <sheetView topLeftCell="A19" zoomScaleNormal="100" workbookViewId="0">
      <selection activeCell="J17" sqref="J17"/>
    </sheetView>
  </sheetViews>
  <sheetFormatPr defaultColWidth="11.19921875" defaultRowHeight="15.6" x14ac:dyDescent="0.3"/>
  <cols>
    <col min="1" max="1" width="11.296875" bestFit="1" customWidth="1"/>
    <col min="2" max="2" width="11.796875" bestFit="1" customWidth="1"/>
    <col min="4" max="4" width="12.796875" customWidth="1"/>
    <col min="5" max="5" width="5.69921875" customWidth="1"/>
    <col min="8" max="10" width="11.796875" bestFit="1" customWidth="1"/>
    <col min="11" max="12" width="12.5" bestFit="1" customWidth="1"/>
  </cols>
  <sheetData>
    <row r="1" spans="1:11" ht="16.2" thickBot="1" x14ac:dyDescent="0.35">
      <c r="A1" s="12" t="s">
        <v>18</v>
      </c>
      <c r="B1" s="12"/>
      <c r="C1" s="12"/>
    </row>
    <row r="2" spans="1:11" ht="16.2" thickTop="1" x14ac:dyDescent="0.3">
      <c r="A2" s="67" t="s">
        <v>257</v>
      </c>
      <c r="B2" s="68">
        <v>3537577</v>
      </c>
      <c r="C2" s="69" t="s">
        <v>260</v>
      </c>
    </row>
    <row r="3" spans="1:11" x14ac:dyDescent="0.3">
      <c r="A3" s="67" t="s">
        <v>257</v>
      </c>
      <c r="B3" s="68">
        <v>4363537</v>
      </c>
      <c r="C3" s="69" t="s">
        <v>263</v>
      </c>
    </row>
    <row r="4" spans="1:11" x14ac:dyDescent="0.3">
      <c r="A4" s="67" t="s">
        <v>257</v>
      </c>
      <c r="B4" s="68">
        <f>B2/B12</f>
        <v>154096500362.30002</v>
      </c>
      <c r="C4" s="69" t="s">
        <v>261</v>
      </c>
      <c r="H4" s="66" t="s">
        <v>292</v>
      </c>
      <c r="J4" t="s">
        <v>297</v>
      </c>
    </row>
    <row r="5" spans="1:11" ht="16.2" thickBot="1" x14ac:dyDescent="0.35">
      <c r="A5" s="67" t="s">
        <v>264</v>
      </c>
      <c r="B5" s="68">
        <v>15805</v>
      </c>
      <c r="C5" s="69" t="s">
        <v>265</v>
      </c>
      <c r="H5" s="66"/>
    </row>
    <row r="6" spans="1:11" x14ac:dyDescent="0.3">
      <c r="A6" s="67" t="s">
        <v>264</v>
      </c>
      <c r="B6" s="68">
        <f>6396</f>
        <v>6396</v>
      </c>
      <c r="C6" s="69" t="s">
        <v>266</v>
      </c>
      <c r="H6" s="74"/>
      <c r="I6" s="75"/>
      <c r="J6" s="76"/>
    </row>
    <row r="7" spans="1:11" x14ac:dyDescent="0.3">
      <c r="A7" s="67" t="s">
        <v>264</v>
      </c>
      <c r="B7" s="68">
        <f>B5*B15</f>
        <v>688465800</v>
      </c>
      <c r="C7" s="69" t="s">
        <v>259</v>
      </c>
      <c r="H7" s="77"/>
      <c r="I7" s="66"/>
      <c r="J7" s="78"/>
    </row>
    <row r="8" spans="1:11" x14ac:dyDescent="0.3">
      <c r="A8" s="67" t="s">
        <v>291</v>
      </c>
      <c r="B8" s="68">
        <v>2818827</v>
      </c>
      <c r="C8" s="69" t="s">
        <v>260</v>
      </c>
      <c r="G8" s="66" t="s">
        <v>284</v>
      </c>
      <c r="H8" s="77"/>
      <c r="I8" s="66" t="s">
        <v>295</v>
      </c>
      <c r="J8" s="78"/>
      <c r="K8" s="66" t="s">
        <v>293</v>
      </c>
    </row>
    <row r="9" spans="1:11" x14ac:dyDescent="0.3">
      <c r="A9" s="67" t="s">
        <v>267</v>
      </c>
      <c r="B9" s="68">
        <v>100</v>
      </c>
      <c r="C9" s="69" t="s">
        <v>267</v>
      </c>
      <c r="H9" s="77"/>
      <c r="I9" s="66"/>
      <c r="J9" s="78"/>
    </row>
    <row r="10" spans="1:11" ht="16.2" thickBot="1" x14ac:dyDescent="0.35">
      <c r="A10" s="67" t="s">
        <v>229</v>
      </c>
      <c r="B10" s="68">
        <v>10000</v>
      </c>
      <c r="C10" s="69" t="s">
        <v>229</v>
      </c>
      <c r="H10" s="79"/>
      <c r="I10" s="80"/>
      <c r="J10" s="81"/>
    </row>
    <row r="11" spans="1:11" x14ac:dyDescent="0.3">
      <c r="A11" s="67" t="s">
        <v>268</v>
      </c>
      <c r="B11" s="68">
        <v>5280</v>
      </c>
      <c r="C11" s="69" t="s">
        <v>268</v>
      </c>
      <c r="G11" s="85" t="s">
        <v>294</v>
      </c>
      <c r="H11" s="85"/>
      <c r="I11" s="85"/>
      <c r="J11" s="85"/>
    </row>
    <row r="12" spans="1:11" x14ac:dyDescent="0.3">
      <c r="A12" s="67" t="s">
        <v>269</v>
      </c>
      <c r="B12" s="68">
        <f>10/435599</f>
        <v>2.2956893840435812E-5</v>
      </c>
      <c r="C12" s="69" t="s">
        <v>269</v>
      </c>
      <c r="G12" s="85" t="s">
        <v>296</v>
      </c>
      <c r="H12" s="85"/>
      <c r="I12" s="85"/>
      <c r="J12" s="85"/>
    </row>
    <row r="13" spans="1:11" x14ac:dyDescent="0.3">
      <c r="A13" s="67" t="s">
        <v>258</v>
      </c>
      <c r="B13" s="68">
        <v>12</v>
      </c>
      <c r="C13" s="69" t="s">
        <v>258</v>
      </c>
    </row>
    <row r="14" spans="1:11" x14ac:dyDescent="0.3">
      <c r="A14" s="67" t="s">
        <v>270</v>
      </c>
      <c r="B14" s="68">
        <f>B13^3</f>
        <v>1728</v>
      </c>
      <c r="C14" s="69" t="s">
        <v>270</v>
      </c>
    </row>
    <row r="15" spans="1:11" x14ac:dyDescent="0.3">
      <c r="A15" s="67" t="s">
        <v>271</v>
      </c>
      <c r="B15" s="68">
        <v>43560</v>
      </c>
      <c r="C15" s="69" t="s">
        <v>271</v>
      </c>
    </row>
    <row r="16" spans="1:11" x14ac:dyDescent="0.3">
      <c r="A16" s="67" t="s">
        <v>272</v>
      </c>
      <c r="B16" s="68">
        <f>60*60*24</f>
        <v>86400</v>
      </c>
      <c r="C16" s="69" t="s">
        <v>273</v>
      </c>
    </row>
    <row r="20" spans="1:15" ht="16.2" thickBot="1" x14ac:dyDescent="0.35">
      <c r="A20" s="12" t="s">
        <v>274</v>
      </c>
      <c r="B20" s="12"/>
      <c r="C20" s="12"/>
      <c r="D20" s="12"/>
      <c r="E20" s="66"/>
      <c r="F20" s="12" t="s">
        <v>9</v>
      </c>
      <c r="G20" s="12"/>
      <c r="H20" s="12"/>
      <c r="I20" s="12"/>
      <c r="J20" s="12"/>
      <c r="K20" s="12"/>
      <c r="L20" s="12"/>
      <c r="M20" s="12"/>
      <c r="N20" s="12"/>
      <c r="O20" s="12"/>
    </row>
    <row r="21" spans="1:15" ht="16.2" thickTop="1" x14ac:dyDescent="0.3">
      <c r="A21" s="70" t="s">
        <v>152</v>
      </c>
      <c r="B21" s="70" t="s">
        <v>282</v>
      </c>
      <c r="C21" s="70" t="s">
        <v>280</v>
      </c>
      <c r="D21" s="70" t="s">
        <v>281</v>
      </c>
      <c r="E21" s="66"/>
      <c r="F21" s="70" t="s">
        <v>152</v>
      </c>
      <c r="G21" s="70" t="s">
        <v>283</v>
      </c>
      <c r="H21" s="70" t="s">
        <v>280</v>
      </c>
      <c r="I21" s="70" t="s">
        <v>280</v>
      </c>
      <c r="J21" s="70" t="s">
        <v>284</v>
      </c>
      <c r="K21" s="70" t="s">
        <v>275</v>
      </c>
      <c r="L21" s="70" t="s">
        <v>275</v>
      </c>
      <c r="M21" s="70" t="s">
        <v>286</v>
      </c>
      <c r="N21" s="70" t="s">
        <v>287</v>
      </c>
      <c r="O21" s="70" t="s">
        <v>288</v>
      </c>
    </row>
    <row r="22" spans="1:15" x14ac:dyDescent="0.3">
      <c r="B22" t="s">
        <v>278</v>
      </c>
      <c r="C22" t="s">
        <v>279</v>
      </c>
      <c r="D22" t="s">
        <v>278</v>
      </c>
      <c r="F22" t="s">
        <v>276</v>
      </c>
      <c r="G22" t="s">
        <v>262</v>
      </c>
      <c r="H22" t="s">
        <v>277</v>
      </c>
      <c r="I22" t="s">
        <v>262</v>
      </c>
      <c r="J22" t="s">
        <v>262</v>
      </c>
      <c r="K22" t="s">
        <v>262</v>
      </c>
      <c r="L22" t="s">
        <v>285</v>
      </c>
      <c r="M22" t="s">
        <v>289</v>
      </c>
      <c r="N22" t="s">
        <v>290</v>
      </c>
      <c r="O22" t="s">
        <v>262</v>
      </c>
    </row>
    <row r="23" spans="1:15" x14ac:dyDescent="0.3">
      <c r="A23" s="71">
        <v>42767</v>
      </c>
      <c r="B23" s="72">
        <v>20187</v>
      </c>
      <c r="C23" s="72">
        <v>0</v>
      </c>
      <c r="D23" s="72">
        <v>8644</v>
      </c>
      <c r="F23" s="73">
        <v>42767</v>
      </c>
      <c r="G23" s="82">
        <f>B23</f>
        <v>20187</v>
      </c>
      <c r="H23" s="82">
        <f>C23/$B$13</f>
        <v>0</v>
      </c>
      <c r="I23" s="82">
        <f>H23*$B$7/$B$16</f>
        <v>0</v>
      </c>
      <c r="J23" s="82">
        <f>D23</f>
        <v>8644</v>
      </c>
      <c r="K23" s="82">
        <f>J23-G23+I23</f>
        <v>-11543</v>
      </c>
      <c r="L23" s="82" cm="1">
        <f t="array" aca="1" ref="L23" ca="1">K23+L23:L50*$B$16</f>
        <v>0</v>
      </c>
      <c r="M23" s="82"/>
      <c r="N23" s="82"/>
      <c r="O23" s="82"/>
    </row>
    <row r="24" spans="1:15" x14ac:dyDescent="0.3">
      <c r="A24" s="71">
        <v>42768</v>
      </c>
      <c r="B24" s="72">
        <v>20463</v>
      </c>
      <c r="C24" s="72">
        <v>0.48</v>
      </c>
      <c r="D24" s="72">
        <v>9381</v>
      </c>
      <c r="F24" s="73">
        <v>42768</v>
      </c>
      <c r="G24" s="82">
        <f t="shared" ref="G24:G50" si="0">B24</f>
        <v>20463</v>
      </c>
      <c r="H24" s="82">
        <f t="shared" ref="H24:H50" si="1">C24/$B$13</f>
        <v>0.04</v>
      </c>
      <c r="I24" s="82">
        <f>H24*$B$7/$B$16</f>
        <v>318.73416666666668</v>
      </c>
      <c r="J24" s="82">
        <f t="shared" ref="J24:J50" si="2">D24</f>
        <v>9381</v>
      </c>
      <c r="K24" s="82">
        <f>J24-G24+I24</f>
        <v>-10763.265833333333</v>
      </c>
      <c r="L24" s="82">
        <f t="shared" ref="L24:L50" si="3">K24*$B$16</f>
        <v>-929946168</v>
      </c>
      <c r="M24" s="82"/>
      <c r="N24" s="82"/>
      <c r="O24" s="82"/>
    </row>
    <row r="25" spans="1:15" x14ac:dyDescent="0.3">
      <c r="A25" s="71">
        <v>42769</v>
      </c>
      <c r="B25" s="72">
        <v>25772</v>
      </c>
      <c r="C25" s="72">
        <v>0</v>
      </c>
      <c r="D25" s="72">
        <v>20210</v>
      </c>
      <c r="F25" s="73">
        <v>42769</v>
      </c>
      <c r="G25" s="82">
        <f t="shared" si="0"/>
        <v>25772</v>
      </c>
      <c r="H25" s="82">
        <f t="shared" si="1"/>
        <v>0</v>
      </c>
      <c r="I25" s="82">
        <f t="shared" ref="I24:I49" si="4">H25*$B$7/$B$16</f>
        <v>0</v>
      </c>
      <c r="J25" s="82">
        <f t="shared" si="2"/>
        <v>20210</v>
      </c>
      <c r="K25" s="82">
        <f t="shared" ref="K24:K50" si="5">J25-G25+I25</f>
        <v>-5562</v>
      </c>
      <c r="L25" s="82">
        <f t="shared" si="3"/>
        <v>-480556800</v>
      </c>
      <c r="M25" s="82"/>
      <c r="N25" s="82"/>
      <c r="O25" s="82"/>
    </row>
    <row r="26" spans="1:15" x14ac:dyDescent="0.3">
      <c r="A26" s="71">
        <v>42770</v>
      </c>
      <c r="B26" s="72">
        <v>30014</v>
      </c>
      <c r="C26" s="72">
        <v>0.12</v>
      </c>
      <c r="D26" s="72">
        <v>36027</v>
      </c>
      <c r="F26" s="73">
        <v>42770</v>
      </c>
      <c r="G26" s="82">
        <f t="shared" si="0"/>
        <v>30014</v>
      </c>
      <c r="H26" s="82">
        <f t="shared" si="1"/>
        <v>0.01</v>
      </c>
      <c r="I26" s="82">
        <f t="shared" si="4"/>
        <v>79.68354166666667</v>
      </c>
      <c r="J26" s="82">
        <f t="shared" si="2"/>
        <v>36027</v>
      </c>
      <c r="K26" s="82">
        <f t="shared" si="5"/>
        <v>6092.6835416666663</v>
      </c>
      <c r="L26" s="82">
        <f t="shared" si="3"/>
        <v>526407857.99999994</v>
      </c>
      <c r="M26" s="82"/>
      <c r="N26" s="82"/>
      <c r="O26" s="82"/>
    </row>
    <row r="27" spans="1:15" x14ac:dyDescent="0.3">
      <c r="A27" s="71">
        <v>42771</v>
      </c>
      <c r="B27" s="72">
        <v>29911</v>
      </c>
      <c r="C27" s="72">
        <v>0.88</v>
      </c>
      <c r="D27" s="72">
        <v>30856</v>
      </c>
      <c r="F27" s="73">
        <v>42771</v>
      </c>
      <c r="G27" s="82">
        <f t="shared" si="0"/>
        <v>29911</v>
      </c>
      <c r="H27" s="82">
        <f t="shared" si="1"/>
        <v>7.3333333333333334E-2</v>
      </c>
      <c r="I27" s="82">
        <f t="shared" si="4"/>
        <v>584.34597222222226</v>
      </c>
      <c r="J27" s="82">
        <f t="shared" si="2"/>
        <v>30856</v>
      </c>
      <c r="K27" s="82">
        <f t="shared" si="5"/>
        <v>1529.3459722222224</v>
      </c>
      <c r="L27" s="82">
        <f t="shared" si="3"/>
        <v>132135492.00000001</v>
      </c>
      <c r="M27" s="82"/>
      <c r="N27" s="82"/>
      <c r="O27" s="82"/>
    </row>
    <row r="28" spans="1:15" x14ac:dyDescent="0.3">
      <c r="A28" s="71">
        <v>42772</v>
      </c>
      <c r="B28" s="72">
        <v>38741</v>
      </c>
      <c r="C28" s="72">
        <v>1.48</v>
      </c>
      <c r="D28" s="72">
        <v>48795</v>
      </c>
      <c r="F28" s="73">
        <v>42772</v>
      </c>
      <c r="G28" s="82">
        <f t="shared" si="0"/>
        <v>38741</v>
      </c>
      <c r="H28" s="82">
        <f t="shared" si="1"/>
        <v>0.12333333333333334</v>
      </c>
      <c r="I28" s="82">
        <f t="shared" si="4"/>
        <v>982.76368055555554</v>
      </c>
      <c r="J28" s="82">
        <f t="shared" si="2"/>
        <v>48795</v>
      </c>
      <c r="K28" s="82">
        <f t="shared" si="5"/>
        <v>11036.763680555556</v>
      </c>
      <c r="L28" s="82">
        <f t="shared" si="3"/>
        <v>953576382</v>
      </c>
      <c r="M28" s="82"/>
      <c r="N28" s="82"/>
      <c r="O28" s="82"/>
    </row>
    <row r="29" spans="1:15" x14ac:dyDescent="0.3">
      <c r="A29" s="71">
        <v>42773</v>
      </c>
      <c r="B29" s="72">
        <v>27425</v>
      </c>
      <c r="C29" s="72">
        <v>0.4</v>
      </c>
      <c r="D29" s="72">
        <v>106845</v>
      </c>
      <c r="F29" s="73">
        <v>42773</v>
      </c>
      <c r="G29" s="82">
        <f t="shared" si="0"/>
        <v>27425</v>
      </c>
      <c r="H29" s="82">
        <f t="shared" si="1"/>
        <v>3.3333333333333333E-2</v>
      </c>
      <c r="I29" s="82">
        <f t="shared" si="4"/>
        <v>265.61180555555558</v>
      </c>
      <c r="J29" s="82">
        <f t="shared" si="2"/>
        <v>106845</v>
      </c>
      <c r="K29" s="82">
        <f t="shared" si="5"/>
        <v>79685.611805555556</v>
      </c>
      <c r="L29" s="82">
        <f t="shared" si="3"/>
        <v>6884836860</v>
      </c>
      <c r="M29" s="82"/>
      <c r="N29" s="82"/>
      <c r="O29" s="82"/>
    </row>
    <row r="30" spans="1:15" x14ac:dyDescent="0.3">
      <c r="A30" s="71">
        <v>42774</v>
      </c>
      <c r="B30" s="72">
        <v>11687</v>
      </c>
      <c r="C30" s="72">
        <v>1.1200000000000001</v>
      </c>
      <c r="D30" s="72">
        <v>101841</v>
      </c>
      <c r="F30" s="73">
        <v>42774</v>
      </c>
      <c r="G30" s="82">
        <f t="shared" si="0"/>
        <v>11687</v>
      </c>
      <c r="H30" s="82">
        <f t="shared" si="1"/>
        <v>9.3333333333333338E-2</v>
      </c>
      <c r="I30" s="82">
        <f t="shared" si="4"/>
        <v>743.71305555555557</v>
      </c>
      <c r="J30" s="82">
        <f t="shared" si="2"/>
        <v>101841</v>
      </c>
      <c r="K30" s="82">
        <f t="shared" si="5"/>
        <v>90897.713055555549</v>
      </c>
      <c r="L30" s="82">
        <f t="shared" si="3"/>
        <v>7853562407.999999</v>
      </c>
      <c r="M30" s="82"/>
      <c r="N30" s="82"/>
      <c r="O30" s="82"/>
    </row>
    <row r="31" spans="1:15" x14ac:dyDescent="0.3">
      <c r="A31" s="71">
        <v>42775</v>
      </c>
      <c r="B31" s="72">
        <v>34253</v>
      </c>
      <c r="C31" s="72">
        <v>2.04</v>
      </c>
      <c r="D31" s="72">
        <v>155498</v>
      </c>
      <c r="F31" s="73">
        <v>42775</v>
      </c>
      <c r="G31" s="82">
        <f t="shared" si="0"/>
        <v>34253</v>
      </c>
      <c r="H31" s="82">
        <f t="shared" si="1"/>
        <v>0.17</v>
      </c>
      <c r="I31" s="82">
        <f t="shared" si="4"/>
        <v>1354.6202083333335</v>
      </c>
      <c r="J31" s="82">
        <f t="shared" si="2"/>
        <v>155498</v>
      </c>
      <c r="K31" s="82">
        <f t="shared" si="5"/>
        <v>122599.62020833333</v>
      </c>
      <c r="L31" s="82">
        <f t="shared" si="3"/>
        <v>10592607186</v>
      </c>
      <c r="M31" s="82"/>
      <c r="N31" s="82"/>
      <c r="O31" s="82"/>
    </row>
    <row r="32" spans="1:15" x14ac:dyDescent="0.3">
      <c r="A32" s="71">
        <v>42776</v>
      </c>
      <c r="B32" s="72">
        <v>60697</v>
      </c>
      <c r="C32" s="72">
        <v>0.16</v>
      </c>
      <c r="D32" s="72">
        <v>127679</v>
      </c>
      <c r="F32" s="73">
        <v>42776</v>
      </c>
      <c r="G32" s="82">
        <f t="shared" si="0"/>
        <v>60697</v>
      </c>
      <c r="H32" s="82">
        <f t="shared" si="1"/>
        <v>1.3333333333333334E-2</v>
      </c>
      <c r="I32" s="82">
        <f t="shared" si="4"/>
        <v>106.24472222222222</v>
      </c>
      <c r="J32" s="82">
        <f t="shared" si="2"/>
        <v>127679</v>
      </c>
      <c r="K32" s="82">
        <f t="shared" si="5"/>
        <v>67088.244722222225</v>
      </c>
      <c r="L32" s="82">
        <f t="shared" si="3"/>
        <v>5796424344</v>
      </c>
      <c r="M32" s="82"/>
      <c r="N32" s="82"/>
      <c r="O32" s="82"/>
    </row>
    <row r="33" spans="1:15" x14ac:dyDescent="0.3">
      <c r="A33" s="71">
        <v>42777</v>
      </c>
      <c r="B33" s="72">
        <v>59472</v>
      </c>
      <c r="C33" s="72">
        <v>0</v>
      </c>
      <c r="D33" s="72">
        <v>84437</v>
      </c>
      <c r="F33" s="73">
        <v>42777</v>
      </c>
      <c r="G33" s="82">
        <f t="shared" si="0"/>
        <v>59472</v>
      </c>
      <c r="H33" s="82">
        <f t="shared" si="1"/>
        <v>0</v>
      </c>
      <c r="I33" s="82">
        <f t="shared" si="4"/>
        <v>0</v>
      </c>
      <c r="J33" s="82">
        <f t="shared" si="2"/>
        <v>84437</v>
      </c>
      <c r="K33" s="82">
        <f t="shared" si="5"/>
        <v>24965</v>
      </c>
      <c r="L33" s="82">
        <f t="shared" si="3"/>
        <v>2156976000</v>
      </c>
      <c r="M33" s="82"/>
      <c r="N33" s="82"/>
      <c r="O33" s="82"/>
    </row>
    <row r="34" spans="1:15" x14ac:dyDescent="0.3">
      <c r="A34" s="71">
        <v>42778</v>
      </c>
      <c r="B34" s="72">
        <v>69131</v>
      </c>
      <c r="C34" s="72">
        <v>0</v>
      </c>
      <c r="D34" s="72">
        <v>69167</v>
      </c>
      <c r="F34" s="73">
        <v>42778</v>
      </c>
      <c r="G34" s="82">
        <f t="shared" si="0"/>
        <v>69131</v>
      </c>
      <c r="H34" s="82">
        <f t="shared" si="1"/>
        <v>0</v>
      </c>
      <c r="I34" s="82">
        <f t="shared" si="4"/>
        <v>0</v>
      </c>
      <c r="J34" s="82">
        <f t="shared" si="2"/>
        <v>69167</v>
      </c>
      <c r="K34" s="82">
        <f t="shared" si="5"/>
        <v>36</v>
      </c>
      <c r="L34" s="82">
        <f t="shared" si="3"/>
        <v>3110400</v>
      </c>
      <c r="M34" s="82"/>
      <c r="N34" s="82"/>
      <c r="O34" s="82"/>
    </row>
    <row r="35" spans="1:15" x14ac:dyDescent="0.3">
      <c r="A35" s="71">
        <v>42779</v>
      </c>
      <c r="B35" s="72">
        <v>99999</v>
      </c>
      <c r="C35" s="72">
        <v>0</v>
      </c>
      <c r="D35" s="72">
        <v>14441</v>
      </c>
      <c r="F35" s="73">
        <v>42779</v>
      </c>
      <c r="G35" s="82">
        <f t="shared" si="0"/>
        <v>99999</v>
      </c>
      <c r="H35" s="82">
        <f t="shared" si="1"/>
        <v>0</v>
      </c>
      <c r="I35" s="82">
        <f t="shared" si="4"/>
        <v>0</v>
      </c>
      <c r="J35" s="82">
        <f t="shared" si="2"/>
        <v>14441</v>
      </c>
      <c r="K35" s="82">
        <f t="shared" si="5"/>
        <v>-85558</v>
      </c>
      <c r="L35" s="82">
        <f t="shared" si="3"/>
        <v>-7392211200</v>
      </c>
      <c r="M35" s="82"/>
      <c r="N35" s="82"/>
      <c r="O35" s="82"/>
    </row>
    <row r="36" spans="1:15" x14ac:dyDescent="0.3">
      <c r="A36" s="71">
        <v>42780</v>
      </c>
      <c r="B36" s="72">
        <v>99999</v>
      </c>
      <c r="C36" s="72">
        <v>0</v>
      </c>
      <c r="D36" s="72">
        <v>28388</v>
      </c>
      <c r="F36" s="73">
        <v>42780</v>
      </c>
      <c r="G36" s="82">
        <f t="shared" si="0"/>
        <v>99999</v>
      </c>
      <c r="H36" s="82">
        <f t="shared" si="1"/>
        <v>0</v>
      </c>
      <c r="I36" s="82">
        <f t="shared" si="4"/>
        <v>0</v>
      </c>
      <c r="J36" s="82">
        <f t="shared" si="2"/>
        <v>28388</v>
      </c>
      <c r="K36" s="82">
        <f t="shared" si="5"/>
        <v>-71611</v>
      </c>
      <c r="L36" s="82">
        <f t="shared" si="3"/>
        <v>-6187190400</v>
      </c>
      <c r="M36" s="82"/>
      <c r="N36" s="82"/>
      <c r="O36" s="82"/>
    </row>
    <row r="37" spans="1:15" x14ac:dyDescent="0.3">
      <c r="A37" s="71">
        <v>42781</v>
      </c>
      <c r="B37" s="72">
        <v>99999</v>
      </c>
      <c r="C37" s="72">
        <v>0</v>
      </c>
      <c r="D37" s="72">
        <v>25032</v>
      </c>
      <c r="F37" s="73">
        <v>42781</v>
      </c>
      <c r="G37" s="82">
        <f t="shared" si="0"/>
        <v>99999</v>
      </c>
      <c r="H37" s="82">
        <f t="shared" si="1"/>
        <v>0</v>
      </c>
      <c r="I37" s="82">
        <f t="shared" si="4"/>
        <v>0</v>
      </c>
      <c r="J37" s="82">
        <f t="shared" si="2"/>
        <v>25032</v>
      </c>
      <c r="K37" s="82">
        <f t="shared" si="5"/>
        <v>-74967</v>
      </c>
      <c r="L37" s="82">
        <f t="shared" si="3"/>
        <v>-6477148800</v>
      </c>
      <c r="M37" s="82"/>
      <c r="N37" s="82"/>
      <c r="O37" s="82"/>
    </row>
    <row r="38" spans="1:15" x14ac:dyDescent="0.3">
      <c r="A38" s="71">
        <v>42782</v>
      </c>
      <c r="B38" s="72">
        <v>89999</v>
      </c>
      <c r="C38" s="72">
        <v>0.52</v>
      </c>
      <c r="D38" s="72">
        <v>26535</v>
      </c>
      <c r="F38" s="73">
        <v>42782</v>
      </c>
      <c r="G38" s="82">
        <f t="shared" si="0"/>
        <v>89999</v>
      </c>
      <c r="H38" s="82">
        <f t="shared" si="1"/>
        <v>4.3333333333333335E-2</v>
      </c>
      <c r="I38" s="82">
        <f t="shared" si="4"/>
        <v>345.29534722222223</v>
      </c>
      <c r="J38" s="82">
        <f t="shared" si="2"/>
        <v>26535</v>
      </c>
      <c r="K38" s="82">
        <f t="shared" si="5"/>
        <v>-63118.704652777778</v>
      </c>
      <c r="L38" s="82">
        <f t="shared" si="3"/>
        <v>-5453456082</v>
      </c>
      <c r="M38" s="82"/>
      <c r="N38" s="82"/>
      <c r="O38" s="82"/>
    </row>
    <row r="39" spans="1:15" x14ac:dyDescent="0.3">
      <c r="A39" s="71">
        <v>42783</v>
      </c>
      <c r="B39" s="72">
        <v>76040</v>
      </c>
      <c r="C39" s="72">
        <v>1.44</v>
      </c>
      <c r="D39" s="72">
        <v>29364</v>
      </c>
      <c r="F39" s="73">
        <v>42783</v>
      </c>
      <c r="G39" s="82">
        <f t="shared" si="0"/>
        <v>76040</v>
      </c>
      <c r="H39" s="82">
        <f t="shared" si="1"/>
        <v>0.12</v>
      </c>
      <c r="I39" s="82">
        <f t="shared" si="4"/>
        <v>956.20249999999999</v>
      </c>
      <c r="J39" s="82">
        <f t="shared" si="2"/>
        <v>29364</v>
      </c>
      <c r="K39" s="82">
        <f t="shared" si="5"/>
        <v>-45719.797500000001</v>
      </c>
      <c r="L39" s="82">
        <f t="shared" si="3"/>
        <v>-3950190504</v>
      </c>
      <c r="M39" s="82"/>
      <c r="N39" s="82"/>
      <c r="O39" s="82"/>
    </row>
    <row r="40" spans="1:15" x14ac:dyDescent="0.3">
      <c r="A40" s="71">
        <v>42784</v>
      </c>
      <c r="B40" s="72">
        <v>62499</v>
      </c>
      <c r="C40" s="72">
        <v>0.52</v>
      </c>
      <c r="D40" s="72">
        <v>39131</v>
      </c>
      <c r="F40" s="73">
        <v>42784</v>
      </c>
      <c r="G40" s="82">
        <f t="shared" si="0"/>
        <v>62499</v>
      </c>
      <c r="H40" s="82">
        <f t="shared" si="1"/>
        <v>4.3333333333333335E-2</v>
      </c>
      <c r="I40" s="82">
        <f t="shared" si="4"/>
        <v>345.29534722222223</v>
      </c>
      <c r="J40" s="82">
        <f t="shared" si="2"/>
        <v>39131</v>
      </c>
      <c r="K40" s="82">
        <f t="shared" si="5"/>
        <v>-23022.704652777778</v>
      </c>
      <c r="L40" s="82">
        <f t="shared" si="3"/>
        <v>-1989161682</v>
      </c>
      <c r="M40" s="82"/>
      <c r="N40" s="82"/>
      <c r="O40" s="82"/>
    </row>
    <row r="41" spans="1:15" x14ac:dyDescent="0.3">
      <c r="A41" s="71">
        <v>42785</v>
      </c>
      <c r="B41" s="72">
        <v>57083</v>
      </c>
      <c r="C41" s="72">
        <v>0.4</v>
      </c>
      <c r="D41" s="72">
        <v>35733</v>
      </c>
      <c r="F41" s="73">
        <v>42785</v>
      </c>
      <c r="G41" s="82">
        <f t="shared" si="0"/>
        <v>57083</v>
      </c>
      <c r="H41" s="82">
        <f t="shared" si="1"/>
        <v>3.3333333333333333E-2</v>
      </c>
      <c r="I41" s="82">
        <f t="shared" si="4"/>
        <v>265.61180555555558</v>
      </c>
      <c r="J41" s="82">
        <f t="shared" si="2"/>
        <v>35733</v>
      </c>
      <c r="K41" s="82">
        <f t="shared" si="5"/>
        <v>-21084.388194444444</v>
      </c>
      <c r="L41" s="82">
        <f t="shared" si="3"/>
        <v>-1821691140</v>
      </c>
      <c r="M41" s="82"/>
      <c r="N41" s="82"/>
      <c r="O41" s="82"/>
    </row>
    <row r="42" spans="1:15" x14ac:dyDescent="0.3">
      <c r="A42" s="71">
        <v>42786</v>
      </c>
      <c r="B42" s="72">
        <v>59999</v>
      </c>
      <c r="C42" s="72">
        <v>1.68</v>
      </c>
      <c r="D42" s="72">
        <v>61271</v>
      </c>
      <c r="F42" s="73">
        <v>42786</v>
      </c>
      <c r="G42" s="82">
        <f t="shared" si="0"/>
        <v>59999</v>
      </c>
      <c r="H42" s="82">
        <f t="shared" si="1"/>
        <v>0.13999999999999999</v>
      </c>
      <c r="I42" s="82">
        <f t="shared" si="4"/>
        <v>1115.5695833333332</v>
      </c>
      <c r="J42" s="82">
        <f t="shared" si="2"/>
        <v>61271</v>
      </c>
      <c r="K42" s="82">
        <f t="shared" si="5"/>
        <v>2387.569583333333</v>
      </c>
      <c r="L42" s="82">
        <f t="shared" si="3"/>
        <v>206286011.99999997</v>
      </c>
      <c r="M42" s="82"/>
      <c r="N42" s="82"/>
      <c r="O42" s="82"/>
    </row>
    <row r="43" spans="1:15" x14ac:dyDescent="0.3">
      <c r="A43" s="71">
        <v>42787</v>
      </c>
      <c r="B43" s="72">
        <v>59999</v>
      </c>
      <c r="C43" s="72">
        <v>0</v>
      </c>
      <c r="D43" s="72">
        <v>76938</v>
      </c>
      <c r="F43" s="73">
        <v>42787</v>
      </c>
      <c r="G43" s="82">
        <f t="shared" si="0"/>
        <v>59999</v>
      </c>
      <c r="H43" s="82">
        <f t="shared" si="1"/>
        <v>0</v>
      </c>
      <c r="I43" s="82">
        <f t="shared" si="4"/>
        <v>0</v>
      </c>
      <c r="J43" s="82">
        <f t="shared" si="2"/>
        <v>76938</v>
      </c>
      <c r="K43" s="82">
        <f t="shared" si="5"/>
        <v>16939</v>
      </c>
      <c r="L43" s="82">
        <f t="shared" si="3"/>
        <v>1463529600</v>
      </c>
      <c r="M43" s="82"/>
      <c r="N43" s="82"/>
      <c r="O43" s="82"/>
    </row>
    <row r="44" spans="1:15" x14ac:dyDescent="0.3">
      <c r="A44" s="71">
        <v>42788</v>
      </c>
      <c r="B44" s="72">
        <v>59999</v>
      </c>
      <c r="C44" s="72">
        <v>0</v>
      </c>
      <c r="D44" s="72">
        <v>55568</v>
      </c>
      <c r="F44" s="73">
        <v>42788</v>
      </c>
      <c r="G44" s="82">
        <f t="shared" si="0"/>
        <v>59999</v>
      </c>
      <c r="H44" s="82">
        <f t="shared" si="1"/>
        <v>0</v>
      </c>
      <c r="I44" s="82">
        <f t="shared" si="4"/>
        <v>0</v>
      </c>
      <c r="J44" s="82">
        <f t="shared" si="2"/>
        <v>55568</v>
      </c>
      <c r="K44" s="82">
        <f t="shared" si="5"/>
        <v>-4431</v>
      </c>
      <c r="L44" s="82">
        <f t="shared" si="3"/>
        <v>-382838400</v>
      </c>
      <c r="M44" s="82"/>
      <c r="N44" s="82"/>
      <c r="O44" s="82"/>
    </row>
    <row r="45" spans="1:15" x14ac:dyDescent="0.3">
      <c r="A45" s="71">
        <v>42789</v>
      </c>
      <c r="B45" s="72">
        <v>55416</v>
      </c>
      <c r="C45" s="72">
        <v>0</v>
      </c>
      <c r="D45" s="72">
        <v>41276</v>
      </c>
      <c r="F45" s="73">
        <v>42789</v>
      </c>
      <c r="G45" s="82">
        <f t="shared" si="0"/>
        <v>55416</v>
      </c>
      <c r="H45" s="82">
        <f t="shared" si="1"/>
        <v>0</v>
      </c>
      <c r="I45" s="82">
        <f t="shared" si="4"/>
        <v>0</v>
      </c>
      <c r="J45" s="82">
        <f t="shared" si="2"/>
        <v>41276</v>
      </c>
      <c r="K45" s="82">
        <f t="shared" si="5"/>
        <v>-14140</v>
      </c>
      <c r="L45" s="82">
        <f t="shared" si="3"/>
        <v>-1221696000</v>
      </c>
      <c r="M45" s="82"/>
      <c r="N45" s="82"/>
      <c r="O45" s="82"/>
    </row>
    <row r="46" spans="1:15" x14ac:dyDescent="0.3">
      <c r="A46" s="71">
        <v>42790</v>
      </c>
      <c r="B46" s="72">
        <v>50000</v>
      </c>
      <c r="C46" s="72">
        <v>0</v>
      </c>
      <c r="D46" s="72">
        <v>32259</v>
      </c>
      <c r="F46" s="73">
        <v>42790</v>
      </c>
      <c r="G46" s="82">
        <f t="shared" si="0"/>
        <v>50000</v>
      </c>
      <c r="H46" s="82">
        <f t="shared" si="1"/>
        <v>0</v>
      </c>
      <c r="I46" s="82">
        <f t="shared" si="4"/>
        <v>0</v>
      </c>
      <c r="J46" s="82">
        <f t="shared" si="2"/>
        <v>32259</v>
      </c>
      <c r="K46" s="82">
        <f t="shared" si="5"/>
        <v>-17741</v>
      </c>
      <c r="L46" s="82">
        <f t="shared" si="3"/>
        <v>-1532822400</v>
      </c>
      <c r="M46" s="82"/>
      <c r="N46" s="82"/>
      <c r="O46" s="82"/>
    </row>
    <row r="47" spans="1:15" x14ac:dyDescent="0.3">
      <c r="A47" s="71">
        <v>42791</v>
      </c>
      <c r="B47" s="72">
        <v>50000</v>
      </c>
      <c r="C47" s="72">
        <v>0</v>
      </c>
      <c r="D47" s="72">
        <v>26893</v>
      </c>
      <c r="F47" s="73">
        <v>42791</v>
      </c>
      <c r="G47" s="82">
        <f t="shared" si="0"/>
        <v>50000</v>
      </c>
      <c r="H47" s="82">
        <f t="shared" si="1"/>
        <v>0</v>
      </c>
      <c r="I47" s="82">
        <f t="shared" si="4"/>
        <v>0</v>
      </c>
      <c r="J47" s="82">
        <f t="shared" si="2"/>
        <v>26893</v>
      </c>
      <c r="K47" s="82">
        <f t="shared" si="5"/>
        <v>-23107</v>
      </c>
      <c r="L47" s="82">
        <f t="shared" si="3"/>
        <v>-1996444800</v>
      </c>
      <c r="M47" s="82"/>
      <c r="N47" s="82"/>
      <c r="O47" s="82"/>
    </row>
    <row r="48" spans="1:15" x14ac:dyDescent="0.3">
      <c r="A48" s="71">
        <v>42792</v>
      </c>
      <c r="B48" s="72">
        <v>50000</v>
      </c>
      <c r="C48" s="72">
        <v>0</v>
      </c>
      <c r="D48" s="72">
        <v>22843</v>
      </c>
      <c r="F48" s="73">
        <v>42792</v>
      </c>
      <c r="G48" s="82">
        <f t="shared" si="0"/>
        <v>50000</v>
      </c>
      <c r="H48" s="82">
        <f t="shared" si="1"/>
        <v>0</v>
      </c>
      <c r="I48" s="82">
        <f t="shared" si="4"/>
        <v>0</v>
      </c>
      <c r="J48" s="82">
        <f t="shared" si="2"/>
        <v>22843</v>
      </c>
      <c r="K48" s="82">
        <f t="shared" si="5"/>
        <v>-27157</v>
      </c>
      <c r="L48" s="82">
        <f t="shared" si="3"/>
        <v>-2346364800</v>
      </c>
      <c r="M48" s="82"/>
      <c r="N48" s="82"/>
      <c r="O48" s="82"/>
    </row>
    <row r="49" spans="1:15" x14ac:dyDescent="0.3">
      <c r="A49" s="71">
        <v>42793</v>
      </c>
      <c r="B49" s="72">
        <v>23541</v>
      </c>
      <c r="C49" s="72">
        <v>0</v>
      </c>
      <c r="D49" s="72">
        <v>19884</v>
      </c>
      <c r="F49" s="73">
        <v>42793</v>
      </c>
      <c r="G49" s="82">
        <f t="shared" si="0"/>
        <v>23541</v>
      </c>
      <c r="H49" s="82">
        <f t="shared" si="1"/>
        <v>0</v>
      </c>
      <c r="I49" s="82">
        <f t="shared" si="4"/>
        <v>0</v>
      </c>
      <c r="J49" s="82">
        <f t="shared" si="2"/>
        <v>19884</v>
      </c>
      <c r="K49" s="82">
        <f t="shared" si="5"/>
        <v>-3657</v>
      </c>
      <c r="L49" s="82">
        <f t="shared" si="3"/>
        <v>-315964800</v>
      </c>
      <c r="M49" s="82"/>
      <c r="N49" s="82"/>
      <c r="O49" s="82"/>
    </row>
    <row r="50" spans="1:15" x14ac:dyDescent="0.3">
      <c r="A50" s="71">
        <v>42794</v>
      </c>
      <c r="B50" s="72">
        <v>0</v>
      </c>
      <c r="C50" s="72">
        <v>0</v>
      </c>
      <c r="D50" s="72">
        <v>19700</v>
      </c>
      <c r="F50" s="73">
        <v>42794</v>
      </c>
      <c r="G50" s="82">
        <f t="shared" si="0"/>
        <v>0</v>
      </c>
      <c r="H50" s="82">
        <f t="shared" si="1"/>
        <v>0</v>
      </c>
      <c r="I50" s="82">
        <f>H50*$B$7/$B$16</f>
        <v>0</v>
      </c>
      <c r="J50" s="82">
        <f t="shared" si="2"/>
        <v>19700</v>
      </c>
      <c r="K50" s="82">
        <f t="shared" si="5"/>
        <v>19700</v>
      </c>
      <c r="L50" s="82">
        <f t="shared" si="3"/>
        <v>1702080000</v>
      </c>
      <c r="M50" s="82"/>
      <c r="N50" s="82"/>
      <c r="O50" s="82"/>
    </row>
    <row r="51" spans="1:15" x14ac:dyDescent="0.3">
      <c r="K51" s="84">
        <f>MAX(K23:K50)</f>
        <v>122599.62020833333</v>
      </c>
      <c r="L51" s="83">
        <f ca="1">SUM(L23:L50)</f>
        <v>0</v>
      </c>
    </row>
  </sheetData>
  <mergeCells count="2">
    <mergeCell ref="G11:J11"/>
    <mergeCell ref="G12:J12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B1:K88"/>
  <sheetViews>
    <sheetView topLeftCell="A8" workbookViewId="0">
      <selection activeCell="D59" sqref="D59"/>
    </sheetView>
  </sheetViews>
  <sheetFormatPr defaultColWidth="8.796875" defaultRowHeight="13.2" x14ac:dyDescent="0.25"/>
  <cols>
    <col min="1" max="1" width="2.69921875" style="22" customWidth="1"/>
    <col min="2" max="2" width="19.796875" style="22" customWidth="1"/>
    <col min="3" max="3" width="36.296875" style="22" bestFit="1" customWidth="1"/>
    <col min="4" max="4" width="14.5" style="22" bestFit="1" customWidth="1"/>
    <col min="5" max="5" width="66.296875" style="23" bestFit="1" customWidth="1"/>
    <col min="6" max="6" width="2.69921875" style="22" customWidth="1"/>
    <col min="7" max="11" width="5.5" style="22" customWidth="1"/>
    <col min="12" max="12" width="4.5" style="22" customWidth="1"/>
    <col min="13" max="16384" width="8.796875" style="22"/>
  </cols>
  <sheetData>
    <row r="1" spans="2:11" s="15" customFormat="1" x14ac:dyDescent="0.25"/>
    <row r="2" spans="2:11" s="15" customFormat="1" ht="15.6" x14ac:dyDescent="0.3">
      <c r="B2" s="16" t="s">
        <v>19</v>
      </c>
    </row>
    <row r="3" spans="2:11" s="18" customFormat="1" x14ac:dyDescent="0.25">
      <c r="B3" s="17"/>
    </row>
    <row r="4" spans="2:11" s="18" customFormat="1" x14ac:dyDescent="0.25">
      <c r="B4" s="19" t="s">
        <v>20</v>
      </c>
    </row>
    <row r="5" spans="2:11" s="18" customFormat="1" x14ac:dyDescent="0.25">
      <c r="B5" s="19" t="s">
        <v>21</v>
      </c>
      <c r="C5" s="19"/>
    </row>
    <row r="6" spans="2:11" s="18" customFormat="1" x14ac:dyDescent="0.25">
      <c r="B6" s="20" t="s">
        <v>22</v>
      </c>
      <c r="C6" s="19"/>
    </row>
    <row r="7" spans="2:11" s="21" customFormat="1" ht="13.8" thickBot="1" x14ac:dyDescent="0.3"/>
    <row r="8" spans="2:11" ht="13.8" thickTop="1" x14ac:dyDescent="0.25"/>
    <row r="9" spans="2:11" ht="13.8" thickBot="1" x14ac:dyDescent="0.3">
      <c r="B9" s="24" t="s">
        <v>23</v>
      </c>
      <c r="C9" s="24"/>
      <c r="D9" s="24"/>
      <c r="E9" s="25"/>
      <c r="G9" s="24" t="s">
        <v>24</v>
      </c>
      <c r="H9" s="24"/>
      <c r="I9" s="24"/>
      <c r="J9" s="24"/>
      <c r="K9" s="24"/>
    </row>
    <row r="10" spans="2:11" ht="13.8" thickTop="1" x14ac:dyDescent="0.25">
      <c r="B10" s="26" t="s">
        <v>25</v>
      </c>
      <c r="C10" s="26" t="s">
        <v>26</v>
      </c>
      <c r="D10" s="26" t="s">
        <v>27</v>
      </c>
      <c r="E10" s="27" t="s">
        <v>28</v>
      </c>
      <c r="G10" s="22">
        <v>1</v>
      </c>
      <c r="H10" s="22">
        <v>2</v>
      </c>
      <c r="I10" s="22">
        <v>3</v>
      </c>
      <c r="J10" s="22">
        <v>100</v>
      </c>
      <c r="K10" s="22" t="s">
        <v>29</v>
      </c>
    </row>
    <row r="11" spans="2:11" x14ac:dyDescent="0.25">
      <c r="B11" s="28" t="s">
        <v>30</v>
      </c>
      <c r="C11" s="22" t="s">
        <v>31</v>
      </c>
      <c r="D11" s="22" t="b">
        <v>1</v>
      </c>
      <c r="E11" s="29" t="s">
        <v>32</v>
      </c>
    </row>
    <row r="12" spans="2:11" x14ac:dyDescent="0.25">
      <c r="B12" s="28" t="s">
        <v>33</v>
      </c>
      <c r="C12" s="22" t="s">
        <v>31</v>
      </c>
      <c r="D12" s="22" t="b">
        <v>0</v>
      </c>
      <c r="E12" s="29" t="s">
        <v>34</v>
      </c>
    </row>
    <row r="13" spans="2:11" x14ac:dyDescent="0.25">
      <c r="B13" s="22" t="s">
        <v>35</v>
      </c>
      <c r="C13" s="28" t="s">
        <v>36</v>
      </c>
      <c r="D13" s="22" t="b">
        <f>G10&gt;=H10</f>
        <v>0</v>
      </c>
      <c r="E13" s="29"/>
    </row>
    <row r="14" spans="2:11" x14ac:dyDescent="0.25">
      <c r="B14" s="22" t="s">
        <v>37</v>
      </c>
      <c r="C14" s="28" t="s">
        <v>38</v>
      </c>
      <c r="D14" s="22" t="b">
        <f>NOT(D12)</f>
        <v>1</v>
      </c>
      <c r="E14" s="29" t="s">
        <v>39</v>
      </c>
    </row>
    <row r="15" spans="2:11" x14ac:dyDescent="0.25">
      <c r="B15" s="22" t="s">
        <v>40</v>
      </c>
      <c r="C15" s="28" t="s">
        <v>41</v>
      </c>
      <c r="D15" s="22" t="b">
        <f>AND(D11:D12,D14,FALSE)</f>
        <v>0</v>
      </c>
      <c r="E15" s="29" t="s">
        <v>42</v>
      </c>
    </row>
    <row r="16" spans="2:11" x14ac:dyDescent="0.25">
      <c r="B16" s="22" t="s">
        <v>43</v>
      </c>
      <c r="C16" s="28" t="s">
        <v>44</v>
      </c>
      <c r="D16" s="22" t="b">
        <f>OR(D11:D12,D14,FALSE)</f>
        <v>1</v>
      </c>
      <c r="E16" s="29" t="s">
        <v>42</v>
      </c>
    </row>
    <row r="17" spans="2:11" x14ac:dyDescent="0.25">
      <c r="B17" s="22" t="s">
        <v>45</v>
      </c>
      <c r="C17" s="28" t="s">
        <v>46</v>
      </c>
      <c r="D17" s="22">
        <f>IF(G10+G10=H10,J10,K10)</f>
        <v>100</v>
      </c>
      <c r="E17" s="29" t="s">
        <v>47</v>
      </c>
    </row>
    <row r="18" spans="2:11" x14ac:dyDescent="0.25">
      <c r="B18" s="22" t="s">
        <v>48</v>
      </c>
      <c r="C18" s="28" t="s">
        <v>49</v>
      </c>
      <c r="D18" s="22" t="b">
        <f>ISNUMBER(5)</f>
        <v>1</v>
      </c>
      <c r="E18" s="29" t="s">
        <v>50</v>
      </c>
    </row>
    <row r="19" spans="2:11" x14ac:dyDescent="0.25">
      <c r="B19" s="22" t="s">
        <v>51</v>
      </c>
      <c r="C19" s="28" t="s">
        <v>52</v>
      </c>
      <c r="D19" s="22" t="b">
        <f>ISERROR(1/0)</f>
        <v>1</v>
      </c>
      <c r="E19" s="29" t="s">
        <v>53</v>
      </c>
    </row>
    <row r="21" spans="2:11" ht="13.8" thickBot="1" x14ac:dyDescent="0.3">
      <c r="B21" s="24" t="s">
        <v>54</v>
      </c>
      <c r="C21" s="24"/>
      <c r="D21" s="24"/>
      <c r="E21" s="25"/>
      <c r="G21" s="24" t="s">
        <v>24</v>
      </c>
      <c r="H21" s="24"/>
      <c r="I21" s="24"/>
      <c r="J21" s="24"/>
      <c r="K21" s="24"/>
    </row>
    <row r="22" spans="2:11" ht="13.8" thickTop="1" x14ac:dyDescent="0.25">
      <c r="B22" s="26" t="s">
        <v>25</v>
      </c>
      <c r="C22" s="26" t="s">
        <v>26</v>
      </c>
      <c r="D22" s="26" t="s">
        <v>27</v>
      </c>
      <c r="E22" s="27" t="s">
        <v>28</v>
      </c>
      <c r="G22" s="22">
        <v>1</v>
      </c>
      <c r="H22" s="22">
        <v>2</v>
      </c>
      <c r="I22" s="22">
        <v>3</v>
      </c>
      <c r="J22" s="22">
        <v>4</v>
      </c>
      <c r="K22" s="22">
        <v>5</v>
      </c>
    </row>
    <row r="23" spans="2:11" x14ac:dyDescent="0.25">
      <c r="B23" s="22" t="s">
        <v>55</v>
      </c>
      <c r="C23" s="28" t="s">
        <v>56</v>
      </c>
      <c r="D23" s="22">
        <f>SUM(G22:J22,K22,6)</f>
        <v>21</v>
      </c>
      <c r="E23" s="29" t="s">
        <v>42</v>
      </c>
      <c r="G23" s="22">
        <v>123</v>
      </c>
      <c r="H23" s="22">
        <v>25</v>
      </c>
      <c r="I23" s="22">
        <v>-5</v>
      </c>
      <c r="J23" s="22" t="s">
        <v>57</v>
      </c>
      <c r="K23" s="22" t="s">
        <v>58</v>
      </c>
    </row>
    <row r="24" spans="2:11" x14ac:dyDescent="0.25">
      <c r="B24" s="22" t="s">
        <v>59</v>
      </c>
      <c r="C24" s="28" t="s">
        <v>60</v>
      </c>
      <c r="D24" s="22">
        <f>PRODUCT(G22:J22,K22,6)</f>
        <v>720</v>
      </c>
      <c r="E24" s="29" t="s">
        <v>42</v>
      </c>
    </row>
    <row r="25" spans="2:11" x14ac:dyDescent="0.25">
      <c r="B25" s="22" t="s">
        <v>61</v>
      </c>
      <c r="C25" s="28" t="s">
        <v>62</v>
      </c>
      <c r="D25" s="22">
        <f>AVERAGE(G22:J22,K22,6)</f>
        <v>3.5</v>
      </c>
      <c r="E25" s="29" t="s">
        <v>42</v>
      </c>
    </row>
    <row r="26" spans="2:11" x14ac:dyDescent="0.25">
      <c r="B26" s="22" t="s">
        <v>63</v>
      </c>
      <c r="C26" s="28" t="s">
        <v>64</v>
      </c>
      <c r="D26" s="22">
        <f>MAX(G22:J22,K22,6)</f>
        <v>6</v>
      </c>
      <c r="E26" s="29" t="s">
        <v>42</v>
      </c>
    </row>
    <row r="27" spans="2:11" x14ac:dyDescent="0.25">
      <c r="B27" s="22" t="s">
        <v>65</v>
      </c>
      <c r="C27" s="28" t="s">
        <v>66</v>
      </c>
      <c r="D27" s="22">
        <f>MIN(G22:J22,K22,6)</f>
        <v>1</v>
      </c>
      <c r="E27" s="29" t="s">
        <v>42</v>
      </c>
    </row>
    <row r="28" spans="2:11" x14ac:dyDescent="0.25">
      <c r="B28" s="22" t="s">
        <v>67</v>
      </c>
      <c r="C28" s="28" t="s">
        <v>68</v>
      </c>
      <c r="D28" s="22">
        <f>COUNT(G23:J23,K23,6)</f>
        <v>4</v>
      </c>
      <c r="E28" s="29" t="s">
        <v>69</v>
      </c>
    </row>
    <row r="29" spans="2:11" x14ac:dyDescent="0.25">
      <c r="B29" s="22" t="s">
        <v>70</v>
      </c>
      <c r="C29" s="28" t="s">
        <v>71</v>
      </c>
      <c r="D29" s="22">
        <f>COUNTA(G23:J23,K23,6)</f>
        <v>6</v>
      </c>
      <c r="E29" s="29" t="s">
        <v>72</v>
      </c>
    </row>
    <row r="30" spans="2:11" x14ac:dyDescent="0.25">
      <c r="B30" s="22" t="s">
        <v>73</v>
      </c>
      <c r="C30" s="28" t="s">
        <v>74</v>
      </c>
      <c r="D30" s="22">
        <f ca="1">RAND()</f>
        <v>3.6479393494981971E-2</v>
      </c>
      <c r="E30" s="29" t="s">
        <v>75</v>
      </c>
    </row>
    <row r="31" spans="2:11" x14ac:dyDescent="0.25">
      <c r="B31" s="22" t="s">
        <v>76</v>
      </c>
      <c r="C31" s="28" t="s">
        <v>77</v>
      </c>
      <c r="D31" s="22">
        <f>PI()</f>
        <v>3.1415926535897931</v>
      </c>
      <c r="E31" s="29" t="s">
        <v>78</v>
      </c>
    </row>
    <row r="32" spans="2:11" x14ac:dyDescent="0.25">
      <c r="B32" s="22" t="s">
        <v>79</v>
      </c>
      <c r="C32" s="28" t="s">
        <v>80</v>
      </c>
      <c r="D32" s="22">
        <f>ROUND(D31,3)</f>
        <v>3.1419999999999999</v>
      </c>
      <c r="E32" s="29" t="s">
        <v>81</v>
      </c>
    </row>
    <row r="33" spans="2:11" x14ac:dyDescent="0.25">
      <c r="B33" s="22" t="s">
        <v>82</v>
      </c>
      <c r="C33" s="28" t="s">
        <v>83</v>
      </c>
      <c r="D33" s="22">
        <f>FLOOR(D24,50)</f>
        <v>700</v>
      </c>
      <c r="E33" s="29" t="s">
        <v>84</v>
      </c>
    </row>
    <row r="34" spans="2:11" x14ac:dyDescent="0.25">
      <c r="B34" s="22" t="s">
        <v>85</v>
      </c>
      <c r="C34" s="28" t="s">
        <v>86</v>
      </c>
      <c r="D34" s="22">
        <f>CEILING(D24,50)</f>
        <v>750</v>
      </c>
      <c r="E34" s="29" t="s">
        <v>87</v>
      </c>
    </row>
    <row r="35" spans="2:11" x14ac:dyDescent="0.25">
      <c r="B35" s="22" t="s">
        <v>88</v>
      </c>
      <c r="C35" s="28" t="s">
        <v>89</v>
      </c>
      <c r="D35" s="22">
        <f>ABS(I23)</f>
        <v>5</v>
      </c>
      <c r="E35" s="29" t="s">
        <v>90</v>
      </c>
    </row>
    <row r="36" spans="2:11" x14ac:dyDescent="0.25">
      <c r="B36" s="86" t="s">
        <v>91</v>
      </c>
      <c r="C36" s="86"/>
      <c r="D36" s="30">
        <f>MAX(AVERAGE(G22:K22),ABS(MIN(G23:K23)),PI())</f>
        <v>5</v>
      </c>
      <c r="E36" s="31" t="s">
        <v>92</v>
      </c>
    </row>
    <row r="38" spans="2:11" ht="13.8" thickBot="1" x14ac:dyDescent="0.3">
      <c r="B38" s="24" t="s">
        <v>93</v>
      </c>
      <c r="C38" s="24"/>
      <c r="D38" s="24"/>
      <c r="E38" s="25"/>
      <c r="G38" s="24" t="s">
        <v>24</v>
      </c>
      <c r="H38" s="24"/>
      <c r="I38" s="24"/>
      <c r="J38" s="24"/>
      <c r="K38" s="24"/>
    </row>
    <row r="39" spans="2:11" ht="13.8" thickTop="1" x14ac:dyDescent="0.25">
      <c r="B39" s="26" t="s">
        <v>25</v>
      </c>
      <c r="C39" s="26" t="s">
        <v>26</v>
      </c>
      <c r="D39" s="26" t="s">
        <v>27</v>
      </c>
      <c r="E39" s="27" t="s">
        <v>28</v>
      </c>
      <c r="G39" s="32" t="s">
        <v>94</v>
      </c>
      <c r="H39" s="32" t="s">
        <v>95</v>
      </c>
      <c r="I39" s="32" t="s">
        <v>95</v>
      </c>
      <c r="J39" s="32" t="s">
        <v>94</v>
      </c>
      <c r="K39" s="32" t="s">
        <v>94</v>
      </c>
    </row>
    <row r="40" spans="2:11" x14ac:dyDescent="0.25">
      <c r="B40" s="22" t="s">
        <v>96</v>
      </c>
      <c r="C40" s="28" t="s">
        <v>97</v>
      </c>
      <c r="D40" s="22">
        <f>COUNTIF(G39:K39,"X")</f>
        <v>3</v>
      </c>
      <c r="E40" s="29" t="s">
        <v>98</v>
      </c>
      <c r="G40" s="22">
        <v>1</v>
      </c>
      <c r="H40" s="22">
        <v>2</v>
      </c>
      <c r="I40" s="22">
        <v>3</v>
      </c>
      <c r="J40" s="22">
        <v>3</v>
      </c>
      <c r="K40" s="22">
        <v>4</v>
      </c>
    </row>
    <row r="41" spans="2:11" x14ac:dyDescent="0.25">
      <c r="B41" s="22" t="s">
        <v>99</v>
      </c>
      <c r="C41" s="28" t="s">
        <v>100</v>
      </c>
      <c r="D41" s="22">
        <f>SUMIF(G39:K39,"X",G40:K40)</f>
        <v>8</v>
      </c>
      <c r="E41" s="29" t="s">
        <v>101</v>
      </c>
      <c r="G41" s="22">
        <v>6</v>
      </c>
      <c r="H41" s="22">
        <v>6</v>
      </c>
      <c r="I41" s="22">
        <v>8</v>
      </c>
      <c r="J41" s="22">
        <v>9</v>
      </c>
      <c r="K41" s="22">
        <v>6</v>
      </c>
    </row>
    <row r="42" spans="2:11" x14ac:dyDescent="0.25">
      <c r="B42" s="22" t="s">
        <v>102</v>
      </c>
      <c r="C42" s="28" t="s">
        <v>103</v>
      </c>
      <c r="D42" s="22">
        <f>SUMPRODUCT(G40:K40,G41:K41)</f>
        <v>93</v>
      </c>
      <c r="E42" s="29" t="s">
        <v>104</v>
      </c>
    </row>
    <row r="44" spans="2:11" ht="13.8" thickBot="1" x14ac:dyDescent="0.3">
      <c r="B44" s="24" t="s">
        <v>105</v>
      </c>
      <c r="C44" s="24"/>
      <c r="D44" s="24"/>
      <c r="E44" s="25"/>
      <c r="G44" s="24" t="s">
        <v>24</v>
      </c>
      <c r="H44" s="24"/>
      <c r="I44" s="24"/>
      <c r="J44" s="24"/>
      <c r="K44" s="24"/>
    </row>
    <row r="45" spans="2:11" ht="13.8" thickTop="1" x14ac:dyDescent="0.25">
      <c r="B45" s="26" t="s">
        <v>25</v>
      </c>
      <c r="C45" s="26" t="s">
        <v>26</v>
      </c>
      <c r="D45" s="26" t="s">
        <v>27</v>
      </c>
      <c r="E45" s="27" t="s">
        <v>28</v>
      </c>
      <c r="G45" s="32"/>
      <c r="H45" s="32" t="s">
        <v>57</v>
      </c>
      <c r="I45" s="32" t="s">
        <v>58</v>
      </c>
      <c r="J45" s="32" t="s">
        <v>106</v>
      </c>
      <c r="K45" s="32" t="s">
        <v>107</v>
      </c>
    </row>
    <row r="46" spans="2:11" x14ac:dyDescent="0.25">
      <c r="B46" s="22" t="s">
        <v>108</v>
      </c>
      <c r="C46" s="28" t="s">
        <v>109</v>
      </c>
      <c r="D46" s="22">
        <f>MATCH("C",H45:K45,0)</f>
        <v>3</v>
      </c>
      <c r="E46" s="29" t="s">
        <v>110</v>
      </c>
      <c r="G46" s="22" t="s">
        <v>94</v>
      </c>
      <c r="H46" s="22">
        <v>1</v>
      </c>
      <c r="I46" s="22">
        <v>2</v>
      </c>
      <c r="J46" s="22">
        <v>3</v>
      </c>
      <c r="K46" s="22">
        <v>4</v>
      </c>
    </row>
    <row r="47" spans="2:11" x14ac:dyDescent="0.25">
      <c r="B47" s="22" t="s">
        <v>111</v>
      </c>
      <c r="C47" s="28" t="s">
        <v>112</v>
      </c>
      <c r="D47" s="22">
        <f>INDEX(H46:K48,3,2)</f>
        <v>200</v>
      </c>
      <c r="E47" s="29" t="s">
        <v>113</v>
      </c>
      <c r="G47" s="22" t="s">
        <v>95</v>
      </c>
      <c r="H47" s="22">
        <v>10</v>
      </c>
      <c r="I47" s="22">
        <v>20</v>
      </c>
      <c r="J47" s="22">
        <v>30</v>
      </c>
      <c r="K47" s="22">
        <v>40</v>
      </c>
    </row>
    <row r="48" spans="2:11" x14ac:dyDescent="0.25">
      <c r="B48" s="22" t="s">
        <v>114</v>
      </c>
      <c r="C48" s="28" t="s">
        <v>115</v>
      </c>
      <c r="D48" s="22">
        <f>VLOOKUP("Y",G46:K48,3)</f>
        <v>20</v>
      </c>
      <c r="E48" s="33" t="s">
        <v>116</v>
      </c>
      <c r="G48" s="22" t="s">
        <v>117</v>
      </c>
      <c r="H48" s="22">
        <v>100</v>
      </c>
      <c r="I48" s="22">
        <v>200</v>
      </c>
      <c r="J48" s="22">
        <v>300</v>
      </c>
      <c r="K48" s="22">
        <v>400</v>
      </c>
    </row>
    <row r="49" spans="2:7" x14ac:dyDescent="0.25">
      <c r="B49" s="22" t="s">
        <v>118</v>
      </c>
      <c r="C49" s="28" t="s">
        <v>119</v>
      </c>
      <c r="D49" s="22">
        <f>HLOOKUP("D",H45:K48,3)</f>
        <v>40</v>
      </c>
      <c r="E49" s="33" t="s">
        <v>120</v>
      </c>
    </row>
    <row r="50" spans="2:7" x14ac:dyDescent="0.25">
      <c r="B50" s="22" t="s">
        <v>121</v>
      </c>
      <c r="C50" s="28" t="s">
        <v>122</v>
      </c>
      <c r="D50" s="22">
        <f>ROW(D50)</f>
        <v>50</v>
      </c>
      <c r="E50" s="29" t="s">
        <v>123</v>
      </c>
    </row>
    <row r="51" spans="2:7" x14ac:dyDescent="0.25">
      <c r="B51" s="22" t="s">
        <v>124</v>
      </c>
      <c r="C51" s="28" t="s">
        <v>125</v>
      </c>
      <c r="D51" s="22">
        <f>COLUMN(D51)</f>
        <v>4</v>
      </c>
      <c r="E51" s="29" t="s">
        <v>126</v>
      </c>
    </row>
    <row r="52" spans="2:7" x14ac:dyDescent="0.25">
      <c r="E52" s="29"/>
    </row>
    <row r="53" spans="2:7" ht="13.8" thickBot="1" x14ac:dyDescent="0.3">
      <c r="B53" s="24" t="s">
        <v>127</v>
      </c>
      <c r="C53" s="24"/>
      <c r="D53" s="24"/>
      <c r="E53" s="25"/>
    </row>
    <row r="54" spans="2:7" ht="13.8" thickTop="1" x14ac:dyDescent="0.25">
      <c r="B54" s="26" t="s">
        <v>25</v>
      </c>
      <c r="C54" s="26" t="s">
        <v>26</v>
      </c>
      <c r="D54" s="26" t="s">
        <v>27</v>
      </c>
      <c r="E54" s="27" t="s">
        <v>28</v>
      </c>
    </row>
    <row r="55" spans="2:7" x14ac:dyDescent="0.25">
      <c r="B55" s="22" t="s">
        <v>128</v>
      </c>
      <c r="C55" s="28" t="s">
        <v>129</v>
      </c>
      <c r="D55" s="34">
        <f ca="1">TODAY()</f>
        <v>44176</v>
      </c>
      <c r="E55" s="29" t="s">
        <v>130</v>
      </c>
    </row>
    <row r="56" spans="2:7" x14ac:dyDescent="0.25">
      <c r="B56" s="22" t="s">
        <v>131</v>
      </c>
      <c r="C56" s="28" t="s">
        <v>132</v>
      </c>
      <c r="D56" s="35">
        <f ca="1">NOW()</f>
        <v>44176.969136574073</v>
      </c>
      <c r="E56" s="29" t="s">
        <v>133</v>
      </c>
    </row>
    <row r="57" spans="2:7" x14ac:dyDescent="0.25">
      <c r="B57" s="22" t="s">
        <v>134</v>
      </c>
      <c r="C57" s="28" t="s">
        <v>135</v>
      </c>
      <c r="D57" s="22">
        <f ca="1">YEAR(D56)</f>
        <v>2020</v>
      </c>
      <c r="E57" s="29" t="s">
        <v>136</v>
      </c>
    </row>
    <row r="58" spans="2:7" x14ac:dyDescent="0.25">
      <c r="B58" s="22" t="s">
        <v>137</v>
      </c>
      <c r="C58" s="28" t="s">
        <v>138</v>
      </c>
      <c r="D58" s="22">
        <f ca="1">MONTH(D56)</f>
        <v>12</v>
      </c>
      <c r="E58" s="29" t="s">
        <v>139</v>
      </c>
    </row>
    <row r="59" spans="2:7" x14ac:dyDescent="0.25">
      <c r="B59" s="22" t="s">
        <v>140</v>
      </c>
      <c r="C59" s="28" t="s">
        <v>141</v>
      </c>
      <c r="D59" s="22">
        <f ca="1">DAY(D56)</f>
        <v>11</v>
      </c>
      <c r="E59" s="29" t="s">
        <v>142</v>
      </c>
    </row>
    <row r="60" spans="2:7" x14ac:dyDescent="0.25">
      <c r="B60" s="22" t="s">
        <v>143</v>
      </c>
      <c r="C60" s="28" t="s">
        <v>144</v>
      </c>
      <c r="D60" s="22">
        <f ca="1">HOUR(D56)</f>
        <v>23</v>
      </c>
      <c r="E60" s="29" t="s">
        <v>145</v>
      </c>
    </row>
    <row r="61" spans="2:7" x14ac:dyDescent="0.25">
      <c r="B61" s="22" t="s">
        <v>146</v>
      </c>
      <c r="C61" s="28" t="s">
        <v>147</v>
      </c>
      <c r="D61" s="22">
        <f ca="1">MINUTE(D56)</f>
        <v>15</v>
      </c>
      <c r="E61" s="29" t="s">
        <v>148</v>
      </c>
    </row>
    <row r="62" spans="2:7" x14ac:dyDescent="0.25">
      <c r="B62" s="22" t="s">
        <v>149</v>
      </c>
      <c r="C62" s="28" t="s">
        <v>150</v>
      </c>
      <c r="D62" s="22">
        <f ca="1">SECOND(D56)</f>
        <v>33</v>
      </c>
      <c r="E62" s="29" t="s">
        <v>151</v>
      </c>
    </row>
    <row r="63" spans="2:7" x14ac:dyDescent="0.25">
      <c r="B63" s="22" t="s">
        <v>152</v>
      </c>
      <c r="C63" s="36" t="s">
        <v>153</v>
      </c>
      <c r="D63" s="34">
        <f ca="1">DATE(D57,D58,D59)</f>
        <v>44176</v>
      </c>
      <c r="E63" s="29" t="s">
        <v>154</v>
      </c>
      <c r="G63" s="37"/>
    </row>
    <row r="64" spans="2:7" x14ac:dyDescent="0.25">
      <c r="B64" s="22" t="s">
        <v>155</v>
      </c>
      <c r="C64" s="28" t="s">
        <v>156</v>
      </c>
      <c r="D64" s="38">
        <f ca="1">TIME(D60,D61,D62)</f>
        <v>0.96913194444444439</v>
      </c>
      <c r="E64" s="29" t="s">
        <v>157</v>
      </c>
      <c r="G64" s="39"/>
    </row>
    <row r="65" spans="2:11" x14ac:dyDescent="0.25">
      <c r="B65" s="40" t="s">
        <v>158</v>
      </c>
      <c r="C65" s="41" t="s">
        <v>159</v>
      </c>
      <c r="D65" s="42">
        <f ca="1">NETWORKDAYS(D55,D67)</f>
        <v>6</v>
      </c>
      <c r="E65" s="43" t="s">
        <v>160</v>
      </c>
    </row>
    <row r="66" spans="2:11" x14ac:dyDescent="0.25">
      <c r="B66" s="87" t="s">
        <v>161</v>
      </c>
      <c r="C66" s="87"/>
      <c r="D66" s="44">
        <f ca="1">D56</f>
        <v>44176.969136574073</v>
      </c>
      <c r="E66" s="45" t="s">
        <v>162</v>
      </c>
    </row>
    <row r="67" spans="2:11" x14ac:dyDescent="0.25">
      <c r="B67" s="88" t="s">
        <v>163</v>
      </c>
      <c r="C67" s="88"/>
      <c r="D67" s="46">
        <f ca="1">D63+7</f>
        <v>44183</v>
      </c>
      <c r="E67" s="43" t="s">
        <v>164</v>
      </c>
    </row>
    <row r="68" spans="2:11" x14ac:dyDescent="0.25">
      <c r="B68" s="88" t="s">
        <v>165</v>
      </c>
      <c r="C68" s="88"/>
      <c r="D68" s="47">
        <f ca="1">D64+3/24</f>
        <v>1.0941319444444444</v>
      </c>
      <c r="E68" s="43" t="s">
        <v>166</v>
      </c>
    </row>
    <row r="69" spans="2:11" x14ac:dyDescent="0.25">
      <c r="B69" s="89" t="s">
        <v>167</v>
      </c>
      <c r="C69" s="89"/>
      <c r="D69" s="48">
        <f ca="1">(D67-D56)*24</f>
        <v>144.74072222225368</v>
      </c>
      <c r="E69" s="49" t="s">
        <v>168</v>
      </c>
    </row>
    <row r="70" spans="2:11" x14ac:dyDescent="0.25">
      <c r="B70" s="50"/>
      <c r="C70" s="50"/>
      <c r="D70" s="51"/>
      <c r="E70" s="52"/>
    </row>
    <row r="71" spans="2:11" ht="13.8" thickBot="1" x14ac:dyDescent="0.3">
      <c r="B71" s="24" t="s">
        <v>169</v>
      </c>
      <c r="C71" s="24"/>
      <c r="D71" s="24"/>
      <c r="E71" s="25"/>
      <c r="G71" s="24" t="s">
        <v>24</v>
      </c>
      <c r="H71" s="24"/>
      <c r="I71" s="24"/>
      <c r="J71" s="24"/>
      <c r="K71" s="24"/>
    </row>
    <row r="72" spans="2:11" ht="13.8" thickTop="1" x14ac:dyDescent="0.25">
      <c r="B72" s="26" t="s">
        <v>25</v>
      </c>
      <c r="C72" s="26" t="s">
        <v>26</v>
      </c>
      <c r="D72" s="26" t="s">
        <v>27</v>
      </c>
      <c r="E72" s="27" t="s">
        <v>28</v>
      </c>
      <c r="G72" s="53" t="s">
        <v>170</v>
      </c>
      <c r="H72" s="53" t="s">
        <v>171</v>
      </c>
      <c r="I72" s="53" t="s">
        <v>172</v>
      </c>
      <c r="J72" s="53" t="s">
        <v>173</v>
      </c>
      <c r="K72" s="53" t="s">
        <v>174</v>
      </c>
    </row>
    <row r="73" spans="2:11" x14ac:dyDescent="0.25">
      <c r="B73" s="22" t="s">
        <v>175</v>
      </c>
      <c r="C73" s="54" t="s">
        <v>176</v>
      </c>
      <c r="D73" s="55">
        <f>IRR(G73:K73)</f>
        <v>0.21862269609829066</v>
      </c>
      <c r="E73" s="29" t="s">
        <v>177</v>
      </c>
      <c r="G73" s="56">
        <v>-500</v>
      </c>
      <c r="H73" s="56">
        <v>200</v>
      </c>
      <c r="I73" s="56">
        <v>200</v>
      </c>
      <c r="J73" s="56">
        <v>200</v>
      </c>
      <c r="K73" s="56">
        <v>200</v>
      </c>
    </row>
    <row r="74" spans="2:11" ht="15.6" x14ac:dyDescent="0.3">
      <c r="B74" s="22" t="s">
        <v>178</v>
      </c>
      <c r="C74" s="54" t="s">
        <v>179</v>
      </c>
      <c r="D74" s="57">
        <f>G73+NPV(H74,H73:K73)</f>
        <v>107.46986932528102</v>
      </c>
      <c r="E74" s="29" t="s">
        <v>180</v>
      </c>
      <c r="G74" s="58" t="s">
        <v>181</v>
      </c>
      <c r="H74" s="59">
        <v>0.12</v>
      </c>
      <c r="I74" s="58"/>
      <c r="J74" s="58"/>
      <c r="K74" s="58"/>
    </row>
    <row r="75" spans="2:11" x14ac:dyDescent="0.25">
      <c r="B75" s="86" t="s">
        <v>182</v>
      </c>
      <c r="C75" s="86"/>
      <c r="D75" s="60">
        <f>G73+NPV(H74/12,H73:K73)</f>
        <v>280.39311034367438</v>
      </c>
      <c r="E75" s="31" t="s">
        <v>183</v>
      </c>
    </row>
    <row r="76" spans="2:11" x14ac:dyDescent="0.25">
      <c r="E76" s="29"/>
    </row>
    <row r="77" spans="2:11" ht="13.8" thickBot="1" x14ac:dyDescent="0.3">
      <c r="B77" s="24" t="s">
        <v>184</v>
      </c>
      <c r="C77" s="24"/>
      <c r="D77" s="24"/>
      <c r="E77" s="25"/>
      <c r="G77" s="24" t="s">
        <v>24</v>
      </c>
      <c r="H77" s="24"/>
      <c r="I77" s="24"/>
      <c r="J77" s="24"/>
      <c r="K77" s="24"/>
    </row>
    <row r="78" spans="2:11" ht="13.8" thickTop="1" x14ac:dyDescent="0.25">
      <c r="B78" s="26" t="s">
        <v>25</v>
      </c>
      <c r="C78" s="26" t="s">
        <v>26</v>
      </c>
      <c r="D78" s="26" t="s">
        <v>27</v>
      </c>
      <c r="E78" s="27" t="s">
        <v>28</v>
      </c>
      <c r="G78" s="58" t="s">
        <v>185</v>
      </c>
      <c r="H78" s="58"/>
      <c r="I78" s="58" t="s">
        <v>186</v>
      </c>
      <c r="J78" s="58" t="s">
        <v>187</v>
      </c>
      <c r="K78" s="58" t="s">
        <v>188</v>
      </c>
    </row>
    <row r="79" spans="2:11" x14ac:dyDescent="0.25">
      <c r="B79" s="22" t="s">
        <v>189</v>
      </c>
      <c r="C79" s="28" t="s">
        <v>190</v>
      </c>
      <c r="D79" s="22" t="str">
        <f>TEXT(PI()*1000,"$#,##0.00")</f>
        <v>$3,141.59</v>
      </c>
      <c r="E79" s="29" t="s">
        <v>191</v>
      </c>
    </row>
    <row r="80" spans="2:11" x14ac:dyDescent="0.25">
      <c r="B80" s="22" t="s">
        <v>192</v>
      </c>
      <c r="C80" s="28" t="s">
        <v>193</v>
      </c>
      <c r="D80" s="22">
        <f>SEARCH(I78,G78)</f>
        <v>9</v>
      </c>
      <c r="E80" s="33" t="s">
        <v>194</v>
      </c>
    </row>
    <row r="81" spans="2:5" x14ac:dyDescent="0.25">
      <c r="B81" s="22" t="s">
        <v>195</v>
      </c>
      <c r="C81" s="28" t="s">
        <v>196</v>
      </c>
      <c r="D81" s="22" t="str">
        <f>SUBSTITUTE(G78,J78,K78)</f>
        <v>That is text!</v>
      </c>
      <c r="E81" s="29" t="s">
        <v>197</v>
      </c>
    </row>
    <row r="82" spans="2:5" x14ac:dyDescent="0.25">
      <c r="B82" s="22" t="s">
        <v>198</v>
      </c>
      <c r="C82" s="28" t="s">
        <v>199</v>
      </c>
      <c r="D82" s="22" t="str">
        <f>LOWER(D81)</f>
        <v>that is text!</v>
      </c>
      <c r="E82" s="29" t="s">
        <v>200</v>
      </c>
    </row>
    <row r="83" spans="2:5" x14ac:dyDescent="0.25">
      <c r="B83" s="22" t="s">
        <v>201</v>
      </c>
      <c r="C83" s="28" t="s">
        <v>202</v>
      </c>
      <c r="D83" s="22" t="str">
        <f>UPPER(D81)</f>
        <v>THAT IS TEXT!</v>
      </c>
      <c r="E83" s="29" t="s">
        <v>203</v>
      </c>
    </row>
    <row r="84" spans="2:5" x14ac:dyDescent="0.25">
      <c r="B84" s="22" t="s">
        <v>204</v>
      </c>
      <c r="C84" s="28" t="s">
        <v>205</v>
      </c>
      <c r="D84" s="22" t="str">
        <f>LEFT(D83,2)</f>
        <v>TH</v>
      </c>
      <c r="E84" s="29" t="s">
        <v>206</v>
      </c>
    </row>
    <row r="85" spans="2:5" x14ac:dyDescent="0.25">
      <c r="B85" s="22" t="s">
        <v>207</v>
      </c>
      <c r="C85" s="28" t="s">
        <v>208</v>
      </c>
      <c r="D85" s="22" t="str">
        <f>RIGHT(D83,2)</f>
        <v>T!</v>
      </c>
      <c r="E85" s="29" t="s">
        <v>209</v>
      </c>
    </row>
    <row r="86" spans="2:5" x14ac:dyDescent="0.25">
      <c r="B86" s="22" t="s">
        <v>210</v>
      </c>
      <c r="C86" s="28" t="s">
        <v>211</v>
      </c>
      <c r="D86" s="22" t="str">
        <f>MID(D83,4,6)</f>
        <v>T IS T</v>
      </c>
      <c r="E86" s="29" t="s">
        <v>212</v>
      </c>
    </row>
    <row r="87" spans="2:5" x14ac:dyDescent="0.25">
      <c r="B87" s="22" t="s">
        <v>213</v>
      </c>
      <c r="C87" s="28" t="s">
        <v>214</v>
      </c>
      <c r="D87" s="22" t="str">
        <f>CONCATENATE(K78," is text")</f>
        <v>That is text</v>
      </c>
      <c r="E87" s="29" t="s">
        <v>215</v>
      </c>
    </row>
    <row r="88" spans="2:5" x14ac:dyDescent="0.25">
      <c r="B88" s="22" t="s">
        <v>216</v>
      </c>
      <c r="C88" s="28" t="s">
        <v>217</v>
      </c>
      <c r="D88" s="22" t="str">
        <f>J78&amp;" is text"</f>
        <v>This is text</v>
      </c>
      <c r="E88" s="29" t="s">
        <v>215</v>
      </c>
    </row>
  </sheetData>
  <mergeCells count="6">
    <mergeCell ref="B75:C75"/>
    <mergeCell ref="B36:C36"/>
    <mergeCell ref="B66:C66"/>
    <mergeCell ref="B67:C67"/>
    <mergeCell ref="B68:C68"/>
    <mergeCell ref="B69:C69"/>
  </mergeCells>
  <hyperlinks>
    <hyperlink ref="B6" r:id="rId1" display="asdf" xr:uid="{00000000-0004-0000-0200-000000000000}"/>
  </hyperlinks>
  <pageMargins left="0.7" right="0.7" top="0.75" bottom="0.75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Style</vt:lpstr>
      <vt:lpstr>Oroville</vt:lpstr>
      <vt:lpstr>Functions</vt:lpstr>
      <vt:lpstr>Water Accumulation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</dc:creator>
  <cp:lastModifiedBy>marlin@anchoracres.com</cp:lastModifiedBy>
  <dcterms:created xsi:type="dcterms:W3CDTF">2017-08-28T18:52:32Z</dcterms:created>
  <dcterms:modified xsi:type="dcterms:W3CDTF">2020-12-12T07:15:33Z</dcterms:modified>
</cp:coreProperties>
</file>