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activeTab="2"/>
  </bookViews>
  <sheets>
    <sheet name="Data" sheetId="1" r:id="rId1"/>
    <sheet name="Disposal Distance" sheetId="2" r:id="rId2"/>
    <sheet name="some changes - change much more" sheetId="3" r:id="rId3"/>
    <sheet name="scratch sheet" sheetId="4" r:id="rId4"/>
  </sheets>
  <calcPr calcId="125725"/>
</workbook>
</file>

<file path=xl/calcChain.xml><?xml version="1.0" encoding="utf-8"?>
<calcChain xmlns="http://schemas.openxmlformats.org/spreadsheetml/2006/main">
  <c r="E16" i="3"/>
  <c r="E35"/>
  <c r="E34"/>
  <c r="B34"/>
  <c r="B37" s="1"/>
  <c r="E33"/>
  <c r="B33"/>
  <c r="H9"/>
  <c r="H11"/>
  <c r="H10"/>
  <c r="B26"/>
  <c r="E22"/>
  <c r="B22"/>
  <c r="B16"/>
  <c r="B15"/>
  <c r="E9"/>
  <c r="B12" i="4"/>
  <c r="B22"/>
  <c r="C22"/>
  <c r="B23"/>
  <c r="C23"/>
  <c r="E15" i="3"/>
  <c r="B11"/>
  <c r="B10"/>
  <c r="B9"/>
  <c r="J9" i="1"/>
  <c r="I10"/>
  <c r="J10"/>
  <c r="F13" i="2"/>
  <c r="F14" s="1"/>
  <c r="C18" s="1"/>
  <c r="B13"/>
  <c r="B14" s="1"/>
  <c r="B18" s="1"/>
  <c r="F7"/>
  <c r="C17" s="1"/>
  <c r="B7"/>
  <c r="B17" s="1"/>
  <c r="E38" i="1"/>
  <c r="E37"/>
  <c r="B37"/>
  <c r="E23"/>
  <c r="E25"/>
  <c r="E24"/>
  <c r="B23"/>
  <c r="B25"/>
  <c r="E11"/>
  <c r="B11"/>
  <c r="E37" i="3" l="1"/>
  <c r="B36"/>
  <c r="B28" s="1"/>
  <c r="E17"/>
  <c r="E18" s="1"/>
  <c r="E36"/>
  <c r="C28" s="1"/>
  <c r="E21"/>
  <c r="E23" s="1"/>
  <c r="C27" s="1"/>
  <c r="B21"/>
  <c r="B17"/>
  <c r="B18" s="1"/>
  <c r="B26" i="1"/>
  <c r="B27" s="1"/>
  <c r="E39"/>
  <c r="E40" s="1"/>
  <c r="E26"/>
  <c r="E27" s="1"/>
  <c r="B39"/>
  <c r="B40"/>
  <c r="B27" i="3" l="1"/>
  <c r="B23"/>
  <c r="C26"/>
  <c r="B42" i="1"/>
  <c r="B41"/>
  <c r="E42"/>
  <c r="E41"/>
</calcChain>
</file>

<file path=xl/sharedStrings.xml><?xml version="1.0" encoding="utf-8"?>
<sst xmlns="http://schemas.openxmlformats.org/spreadsheetml/2006/main" count="291" uniqueCount="135">
  <si>
    <t>Disposal of Product:</t>
  </si>
  <si>
    <t>Filter Recyclable</t>
  </si>
  <si>
    <t>No</t>
  </si>
  <si>
    <t>Yes, as of 01/01/2009</t>
  </si>
  <si>
    <t>Housing Recyclable</t>
  </si>
  <si>
    <t>Distance to Landfill</t>
  </si>
  <si>
    <t>miles</t>
  </si>
  <si>
    <t>Estimated Recycled</t>
  </si>
  <si>
    <t>percent</t>
  </si>
  <si>
    <t>percent*******</t>
  </si>
  <si>
    <t>Distance to recycle</t>
  </si>
  <si>
    <t>Total Distance for Disposal</t>
  </si>
  <si>
    <t>Population of Arcata</t>
  </si>
  <si>
    <t>people</t>
  </si>
  <si>
    <t>Total People Who Will Recycle</t>
  </si>
  <si>
    <t>Recycle</t>
  </si>
  <si>
    <t>Distance</t>
  </si>
  <si>
    <t>How often Needed</t>
  </si>
  <si>
    <t>gallons/year</t>
  </si>
  <si>
    <t>gallons/filter</t>
  </si>
  <si>
    <t>Miles per Year to recycle</t>
  </si>
  <si>
    <t>Landfill</t>
  </si>
  <si>
    <t>Miles per Year to Landfill</t>
  </si>
  <si>
    <t>year</t>
  </si>
  <si>
    <t>miles/filter</t>
  </si>
  <si>
    <t>Total Carbon Dioxide Disposal, by truck</t>
  </si>
  <si>
    <t>Kg CO2</t>
  </si>
  <si>
    <t>Total Carbon Dioxide Recycle, by plane</t>
  </si>
  <si>
    <t>Total CO2 for disposal</t>
  </si>
  <si>
    <t>KG CO2</t>
  </si>
  <si>
    <t>Total Elemental Carbon Released for Disposal</t>
  </si>
  <si>
    <t>Kg C</t>
  </si>
  <si>
    <t>Total CO2 for product:</t>
  </si>
  <si>
    <t>Total C for product:</t>
  </si>
  <si>
    <t>KG C</t>
  </si>
  <si>
    <t>Recycling</t>
  </si>
  <si>
    <t>Multi-Pure</t>
  </si>
  <si>
    <t>Brita</t>
  </si>
  <si>
    <t>Amount Recycled</t>
  </si>
  <si>
    <t>Amount Landfilled</t>
  </si>
  <si>
    <t>Multi-Pure Aqua Dome</t>
  </si>
  <si>
    <t>Gallons/filter</t>
  </si>
  <si>
    <t>* This chart is a summary of the ones above.  To manipulate the graph edit the numbers that are the same color as the graph</t>
  </si>
  <si>
    <t>Efficiency:</t>
  </si>
  <si>
    <t>Estimate Fuel Efficiency from Air Transportation</t>
  </si>
  <si>
    <t>miles/gallon******</t>
  </si>
  <si>
    <t>Estimate Fuel Efficiency from Ground Transportation</t>
  </si>
  <si>
    <t>miles/gallon*****</t>
  </si>
  <si>
    <t>Estimate Fuel Efficiency from Ocean Transport</t>
  </si>
  <si>
    <t>N/A</t>
  </si>
  <si>
    <t>miles/gallon*******</t>
  </si>
  <si>
    <t>Distance traveled:</t>
  </si>
  <si>
    <t>Distance Ocean Transport</t>
  </si>
  <si>
    <t>Distance Air Transport</t>
  </si>
  <si>
    <t>miles****</t>
  </si>
  <si>
    <t>Distance Ground Transport</t>
  </si>
  <si>
    <t>Total Distance Traveled</t>
  </si>
  <si>
    <t>Fuels:</t>
  </si>
  <si>
    <t>Molecular Weight of Diesel Fuel********†</t>
  </si>
  <si>
    <t>g (diesel)</t>
  </si>
  <si>
    <t>Associated CO2</t>
  </si>
  <si>
    <t>g (CO2)</t>
  </si>
  <si>
    <t>Density of diesel</t>
  </si>
  <si>
    <t>Kg/m^3 ‡</t>
  </si>
  <si>
    <t>Molecular Weight of Jet Fuel*********††</t>
  </si>
  <si>
    <t>g (jet)</t>
  </si>
  <si>
    <t>Density of jet fuel</t>
  </si>
  <si>
    <t>Kg/m^3 ‡ ‡</t>
  </si>
  <si>
    <t>Molecular weight of fuel oil**********††</t>
  </si>
  <si>
    <t>g (oil)</t>
  </si>
  <si>
    <t>Density of fuel oil</t>
  </si>
  <si>
    <t>Kg/m^3 ‡ ‡‡</t>
  </si>
  <si>
    <t>CO2 release (transport):</t>
  </si>
  <si>
    <t>Carbon Dioxide Released from Air Transport</t>
  </si>
  <si>
    <t>Carbon Dioxide Released from Ocean Transport</t>
  </si>
  <si>
    <t>Carbon Dioxide Released from Ground</t>
  </si>
  <si>
    <t>Total Carbon Dioxide Released</t>
  </si>
  <si>
    <t>Elemental Carbon Released</t>
  </si>
  <si>
    <t>m^3/gal</t>
  </si>
  <si>
    <t>Kg (C) / Kg (CO2)</t>
  </si>
  <si>
    <t>CO2 to Recycle</t>
  </si>
  <si>
    <t>CO2 to Landfill</t>
  </si>
  <si>
    <t>Multi-pure</t>
  </si>
  <si>
    <t>Filter Systems</t>
  </si>
  <si>
    <t>Calculations</t>
  </si>
  <si>
    <t>Multi-Pure Landfill</t>
  </si>
  <si>
    <t>Brita Landfill</t>
  </si>
  <si>
    <t>Calculation</t>
  </si>
  <si>
    <t>Brita Recycling</t>
  </si>
  <si>
    <t>Multi-Pure Recycling</t>
  </si>
  <si>
    <t>* This chart is a summary of the ones above.  To manipulate the graph edit the numbers above.</t>
  </si>
  <si>
    <t>Jet fuel CO2</t>
  </si>
  <si>
    <t>g CO2 / g Fuel</t>
  </si>
  <si>
    <t>Jets</t>
  </si>
  <si>
    <t>Trucks</t>
  </si>
  <si>
    <t xml:space="preserve">Estimate gas mileage </t>
  </si>
  <si>
    <t>Ground Distance to recycle</t>
  </si>
  <si>
    <t>Air Distance to recycle</t>
  </si>
  <si>
    <t>Fly if more than</t>
  </si>
  <si>
    <t>Ground when flying</t>
  </si>
  <si>
    <t>C02</t>
  </si>
  <si>
    <t>kg CO2</t>
  </si>
  <si>
    <t>Dispoal CO2</t>
  </si>
  <si>
    <t>Recyling CO2</t>
  </si>
  <si>
    <t>Production</t>
  </si>
  <si>
    <t>MP</t>
  </si>
  <si>
    <t>CO2 in Disposal Process</t>
  </si>
  <si>
    <t>CO2 in Recycling Process</t>
  </si>
  <si>
    <t>Percent you recycle:</t>
  </si>
  <si>
    <t>g CO2/g fuel</t>
  </si>
  <si>
    <t>Jef Fuel CO2</t>
  </si>
  <si>
    <t>Truck CO2</t>
  </si>
  <si>
    <t>g CO2/ g Fuel</t>
  </si>
  <si>
    <t>Your distance from Massachusetts</t>
  </si>
  <si>
    <t>Your distance from Landfill</t>
  </si>
  <si>
    <t>CO2</t>
  </si>
  <si>
    <t>Boats</t>
  </si>
  <si>
    <t>Density of Fuel</t>
  </si>
  <si>
    <t>Estimate gas mileage</t>
  </si>
  <si>
    <t>Boat CO2</t>
  </si>
  <si>
    <t>Your distance from Oakland</t>
  </si>
  <si>
    <t>Multi-Pure Transportation</t>
  </si>
  <si>
    <t>Brita Transportation</t>
  </si>
  <si>
    <t>Ground Distance to transport</t>
  </si>
  <si>
    <t>Air Distance to transport</t>
  </si>
  <si>
    <t>Ocean Transport</t>
  </si>
  <si>
    <t>Your distance from Vegas</t>
  </si>
  <si>
    <t>Distance to Transport</t>
  </si>
  <si>
    <t>CO2 to Transport</t>
  </si>
  <si>
    <t>Percent chance you recycle</t>
  </si>
  <si>
    <t>kg (CO2)</t>
  </si>
  <si>
    <t>CO2 based on percent Recycled</t>
  </si>
  <si>
    <t>CO2 based on percent Landfilled</t>
  </si>
  <si>
    <t>CO2 based on percent Recyceld</t>
  </si>
  <si>
    <r>
      <t>Your distance from Multi-Pure Recycling *</t>
    </r>
    <r>
      <rPr>
        <sz val="9"/>
        <color theme="1"/>
        <rFont val="Calibri"/>
        <family val="2"/>
        <scheme val="minor"/>
      </rPr>
      <t xml:space="preserve">currently there is no recycling </t>
    </r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</si>
</sst>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?_);_(@_)"/>
    <numFmt numFmtId="165" formatCode="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rgb="FFCC99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DFD8D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2" applyBorder="0" applyAlignment="0">
      <alignment horizontal="center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1" xfId="0" applyBorder="1"/>
    <xf numFmtId="3" fontId="0" fillId="0" borderId="0" xfId="0" applyNumberFormat="1"/>
    <xf numFmtId="0" fontId="0" fillId="5" borderId="1" xfId="0" applyFill="1" applyBorder="1"/>
    <xf numFmtId="0" fontId="0" fillId="6" borderId="1" xfId="0" applyFill="1" applyBorder="1"/>
    <xf numFmtId="0" fontId="0" fillId="4" borderId="4" xfId="0" applyFill="1" applyBorder="1"/>
    <xf numFmtId="0" fontId="0" fillId="4" borderId="1" xfId="0" applyFill="1" applyBorder="1"/>
    <xf numFmtId="0" fontId="0" fillId="4" borderId="13" xfId="0" applyFill="1" applyBorder="1"/>
    <xf numFmtId="9" fontId="0" fillId="4" borderId="0" xfId="0" applyNumberFormat="1" applyFill="1"/>
    <xf numFmtId="0" fontId="0" fillId="4" borderId="5" xfId="0" applyFill="1" applyBorder="1"/>
    <xf numFmtId="0" fontId="0" fillId="4" borderId="2" xfId="0" applyFill="1" applyBorder="1"/>
    <xf numFmtId="0" fontId="0" fillId="4" borderId="12" xfId="0" applyFill="1" applyBorder="1"/>
    <xf numFmtId="0" fontId="0" fillId="4" borderId="6" xfId="0" applyFill="1" applyBorder="1"/>
    <xf numFmtId="0" fontId="0" fillId="4" borderId="10" xfId="0" applyFill="1" applyBorder="1"/>
    <xf numFmtId="0" fontId="0" fillId="4" borderId="11" xfId="0" applyFill="1" applyBorder="1"/>
    <xf numFmtId="0" fontId="1" fillId="7" borderId="6" xfId="2" applyFill="1" applyBorder="1"/>
    <xf numFmtId="0" fontId="1" fillId="7" borderId="10" xfId="2" applyFill="1" applyBorder="1"/>
    <xf numFmtId="0" fontId="1" fillId="7" borderId="11" xfId="1" applyFill="1" applyBorder="1"/>
    <xf numFmtId="0" fontId="1" fillId="7" borderId="6" xfId="1" applyFill="1" applyBorder="1"/>
    <xf numFmtId="0" fontId="1" fillId="7" borderId="1" xfId="2" applyFill="1" applyBorder="1"/>
    <xf numFmtId="0" fontId="1" fillId="7" borderId="2" xfId="2" applyFill="1" applyBorder="1"/>
    <xf numFmtId="0" fontId="1" fillId="7" borderId="4" xfId="1" applyFill="1" applyBorder="1"/>
    <xf numFmtId="0" fontId="1" fillId="7" borderId="1" xfId="1" applyFill="1" applyBorder="1"/>
    <xf numFmtId="9" fontId="1" fillId="7" borderId="1" xfId="2" applyNumberFormat="1" applyFill="1" applyBorder="1"/>
    <xf numFmtId="9" fontId="1" fillId="7" borderId="1" xfId="1" applyNumberFormat="1" applyFill="1" applyBorder="1"/>
    <xf numFmtId="0" fontId="0" fillId="8" borderId="0" xfId="0" applyFill="1" applyBorder="1"/>
    <xf numFmtId="0" fontId="0" fillId="8" borderId="5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7" borderId="1" xfId="0" applyFill="1" applyBorder="1"/>
    <xf numFmtId="0" fontId="0" fillId="9" borderId="1" xfId="0" applyFill="1" applyBorder="1"/>
    <xf numFmtId="0" fontId="2" fillId="0" borderId="1" xfId="0" applyFont="1" applyBorder="1" applyAlignment="1">
      <alignment horizontal="center"/>
    </xf>
    <xf numFmtId="0" fontId="1" fillId="6" borderId="1" xfId="2" applyFill="1" applyBorder="1"/>
    <xf numFmtId="0" fontId="0" fillId="11" borderId="1" xfId="0" applyFill="1" applyBorder="1"/>
    <xf numFmtId="0" fontId="1" fillId="10" borderId="1" xfId="1" applyFill="1" applyBorder="1"/>
    <xf numFmtId="1" fontId="0" fillId="0" borderId="0" xfId="0" applyNumberFormat="1"/>
    <xf numFmtId="1" fontId="0" fillId="0" borderId="1" xfId="0" applyNumberFormat="1" applyBorder="1"/>
    <xf numFmtId="0" fontId="0" fillId="0" borderId="3" xfId="0" applyBorder="1" applyAlignment="1">
      <alignment wrapText="1"/>
    </xf>
    <xf numFmtId="0" fontId="0" fillId="0" borderId="3" xfId="0" applyBorder="1"/>
    <xf numFmtId="0" fontId="0" fillId="15" borderId="1" xfId="0" applyFill="1" applyBorder="1" applyAlignment="1">
      <alignment wrapText="1"/>
    </xf>
    <xf numFmtId="0" fontId="0" fillId="15" borderId="1" xfId="0" applyFill="1" applyBorder="1"/>
    <xf numFmtId="0" fontId="0" fillId="12" borderId="1" xfId="0" applyFill="1" applyBorder="1" applyAlignment="1">
      <alignment wrapText="1"/>
    </xf>
    <xf numFmtId="0" fontId="0" fillId="12" borderId="1" xfId="0" applyFill="1" applyBorder="1"/>
    <xf numFmtId="0" fontId="0" fillId="12" borderId="20" xfId="0" applyFill="1" applyBorder="1" applyAlignment="1">
      <alignment wrapText="1"/>
    </xf>
    <xf numFmtId="0" fontId="0" fillId="12" borderId="20" xfId="0" applyFill="1" applyBorder="1"/>
    <xf numFmtId="1" fontId="0" fillId="12" borderId="1" xfId="0" applyNumberFormat="1" applyFill="1" applyBorder="1"/>
    <xf numFmtId="1" fontId="0" fillId="15" borderId="1" xfId="0" applyNumberFormat="1" applyFill="1" applyBorder="1"/>
    <xf numFmtId="0" fontId="0" fillId="14" borderId="1" xfId="0" applyFill="1" applyBorder="1" applyAlignment="1">
      <alignment horizontal="center"/>
    </xf>
    <xf numFmtId="2" fontId="0" fillId="12" borderId="1" xfId="0" applyNumberFormat="1" applyFill="1" applyBorder="1"/>
    <xf numFmtId="9" fontId="0" fillId="0" borderId="0" xfId="5" applyFont="1"/>
    <xf numFmtId="0" fontId="6" fillId="0" borderId="0" xfId="0" applyFont="1"/>
    <xf numFmtId="164" fontId="6" fillId="0" borderId="0" xfId="4" applyNumberFormat="1" applyFont="1"/>
    <xf numFmtId="2" fontId="0" fillId="0" borderId="0" xfId="0" applyNumberFormat="1"/>
    <xf numFmtId="165" fontId="0" fillId="12" borderId="1" xfId="0" applyNumberFormat="1" applyFill="1" applyBorder="1"/>
    <xf numFmtId="165" fontId="0" fillId="15" borderId="1" xfId="0" applyNumberFormat="1" applyFill="1" applyBorder="1"/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3" fillId="13" borderId="7" xfId="2" applyFont="1" applyFill="1" applyBorder="1" applyAlignment="1">
      <alignment horizontal="center"/>
    </xf>
    <xf numFmtId="0" fontId="3" fillId="13" borderId="8" xfId="2" applyFont="1" applyFill="1" applyBorder="1" applyAlignment="1">
      <alignment horizontal="center"/>
    </xf>
    <xf numFmtId="0" fontId="3" fillId="13" borderId="9" xfId="2" applyFont="1" applyFill="1" applyBorder="1" applyAlignment="1">
      <alignment horizontal="center"/>
    </xf>
    <xf numFmtId="0" fontId="3" fillId="13" borderId="7" xfId="1" applyFont="1" applyFill="1" applyBorder="1" applyAlignment="1">
      <alignment horizontal="center"/>
    </xf>
    <xf numFmtId="0" fontId="3" fillId="13" borderId="8" xfId="1" applyFont="1" applyFill="1" applyBorder="1" applyAlignment="1">
      <alignment horizontal="center"/>
    </xf>
    <xf numFmtId="0" fontId="3" fillId="13" borderId="9" xfId="1" applyFont="1" applyFill="1" applyBorder="1" applyAlignment="1">
      <alignment horizontal="center"/>
    </xf>
    <xf numFmtId="0" fontId="4" fillId="7" borderId="17" xfId="2" applyFont="1" applyFill="1" applyBorder="1" applyAlignment="1">
      <alignment horizontal="center"/>
    </xf>
    <xf numFmtId="0" fontId="4" fillId="7" borderId="18" xfId="2" applyFont="1" applyFill="1" applyBorder="1" applyAlignment="1">
      <alignment horizontal="center"/>
    </xf>
    <xf numFmtId="0" fontId="4" fillId="7" borderId="19" xfId="2" applyFont="1" applyFill="1" applyBorder="1" applyAlignment="1">
      <alignment horizontal="center"/>
    </xf>
    <xf numFmtId="0" fontId="4" fillId="7" borderId="7" xfId="1" applyFont="1" applyFill="1" applyBorder="1" applyAlignment="1">
      <alignment horizontal="center"/>
    </xf>
    <xf numFmtId="0" fontId="4" fillId="7" borderId="8" xfId="1" applyFont="1" applyFill="1" applyBorder="1" applyAlignment="1">
      <alignment horizontal="center"/>
    </xf>
    <xf numFmtId="0" fontId="4" fillId="7" borderId="9" xfId="1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15" borderId="6" xfId="0" applyFont="1" applyFill="1" applyBorder="1" applyAlignment="1">
      <alignment horizontal="center" wrapText="1"/>
    </xf>
    <xf numFmtId="3" fontId="0" fillId="12" borderId="1" xfId="0" applyNumberFormat="1" applyFill="1" applyBorder="1"/>
    <xf numFmtId="165" fontId="0" fillId="12" borderId="20" xfId="0" applyNumberFormat="1" applyFill="1" applyBorder="1"/>
    <xf numFmtId="0" fontId="0" fillId="8" borderId="1" xfId="0" applyFill="1" applyBorder="1" applyAlignment="1">
      <alignment wrapText="1"/>
    </xf>
    <xf numFmtId="0" fontId="0" fillId="8" borderId="1" xfId="0" applyFill="1" applyBorder="1"/>
    <xf numFmtId="0" fontId="0" fillId="8" borderId="0" xfId="0" applyFill="1" applyBorder="1" applyAlignment="1">
      <alignment wrapText="1"/>
    </xf>
    <xf numFmtId="9" fontId="0" fillId="0" borderId="1" xfId="5" applyFont="1" applyBorder="1"/>
    <xf numFmtId="0" fontId="7" fillId="14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9" fontId="0" fillId="0" borderId="1" xfId="0" applyNumberFormat="1" applyBorder="1" applyAlignment="1">
      <alignment wrapText="1"/>
    </xf>
  </cellXfs>
  <cellStyles count="6">
    <cellStyle name="20% - Accent3" xfId="1" builtinId="38"/>
    <cellStyle name="40% - Accent3" xfId="2" builtinId="39"/>
    <cellStyle name="Comma" xfId="4" builtinId="3"/>
    <cellStyle name="Normal" xfId="0" builtinId="0"/>
    <cellStyle name="Percent" xfId="5" builtinId="5"/>
    <cellStyle name="Style 1" xfId="3"/>
  </cellStyles>
  <dxfs count="0"/>
  <tableStyles count="1" defaultTableStyle="TableStyleMedium9" defaultPivotStyle="PivotStyleLight16">
    <tableStyle name="Table Style 1" pivot="0" count="0"/>
  </tableStyles>
  <colors>
    <mruColors>
      <color rgb="FFEDFD8D"/>
      <color rgb="FFCC9900"/>
      <color rgb="FF008000"/>
      <color rgb="FF996600"/>
      <color rgb="FF6699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Distance for Disposal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'Disposal Distance'!$A$17</c:f>
              <c:strCache>
                <c:ptCount val="1"/>
                <c:pt idx="0">
                  <c:v>Recycling</c:v>
                </c:pt>
              </c:strCache>
            </c:strRef>
          </c:tx>
          <c:spPr>
            <a:solidFill>
              <a:srgbClr val="008000"/>
            </a:solidFill>
            <a:effectLst>
              <a:outerShdw blurRad="50800" dist="50800" dir="5400000" algn="ctr" rotWithShape="0">
                <a:schemeClr val="accent3">
                  <a:lumMod val="75000"/>
                </a:schemeClr>
              </a:outerShdw>
            </a:effectLst>
          </c:spPr>
          <c:cat>
            <c:strRef>
              <c:f>'Disposal Distance'!$B$16:$C$16</c:f>
              <c:strCache>
                <c:ptCount val="2"/>
                <c:pt idx="0">
                  <c:v>Multi-Pure</c:v>
                </c:pt>
                <c:pt idx="1">
                  <c:v>Brita</c:v>
                </c:pt>
              </c:strCache>
            </c:strRef>
          </c:cat>
          <c:val>
            <c:numRef>
              <c:f>'Disposal Distance'!$B$17:$C$17</c:f>
              <c:numCache>
                <c:formatCode>General</c:formatCode>
                <c:ptCount val="2"/>
                <c:pt idx="0">
                  <c:v>0</c:v>
                </c:pt>
                <c:pt idx="1">
                  <c:v>7711.2</c:v>
                </c:pt>
              </c:numCache>
            </c:numRef>
          </c:val>
        </c:ser>
        <c:ser>
          <c:idx val="1"/>
          <c:order val="1"/>
          <c:tx>
            <c:strRef>
              <c:f>'Disposal Distance'!$A$18</c:f>
              <c:strCache>
                <c:ptCount val="1"/>
                <c:pt idx="0">
                  <c:v>Landfill</c:v>
                </c:pt>
              </c:strCache>
            </c:strRef>
          </c:tx>
          <c:spPr>
            <a:solidFill>
              <a:srgbClr val="CC9900"/>
            </a:solidFill>
          </c:spPr>
          <c:cat>
            <c:strRef>
              <c:f>'Disposal Distance'!$B$16:$C$16</c:f>
              <c:strCache>
                <c:ptCount val="2"/>
                <c:pt idx="0">
                  <c:v>Multi-Pure</c:v>
                </c:pt>
                <c:pt idx="1">
                  <c:v>Brita</c:v>
                </c:pt>
              </c:strCache>
            </c:strRef>
          </c:cat>
          <c:val>
            <c:numRef>
              <c:f>'Disposal Distance'!$B$18:$C$18</c:f>
              <c:numCache>
                <c:formatCode>General</c:formatCode>
                <c:ptCount val="2"/>
                <c:pt idx="0">
                  <c:v>187</c:v>
                </c:pt>
                <c:pt idx="1">
                  <c:v>112.19999999999999</c:v>
                </c:pt>
              </c:numCache>
            </c:numRef>
          </c:val>
        </c:ser>
        <c:axId val="130576768"/>
        <c:axId val="130578688"/>
      </c:barChart>
      <c:catAx>
        <c:axId val="1305767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400"/>
                  <a:t>Types of Filter</a:t>
                </a:r>
                <a:r>
                  <a:rPr lang="en-US" sz="1400" baseline="0"/>
                  <a:t> Systems</a:t>
                </a:r>
                <a:endParaRPr lang="en-US" sz="1400"/>
              </a:p>
            </c:rich>
          </c:tx>
        </c:title>
        <c:tickLblPos val="nextTo"/>
        <c:crossAx val="130578688"/>
        <c:crosses val="autoZero"/>
        <c:auto val="1"/>
        <c:lblAlgn val="ctr"/>
        <c:lblOffset val="100"/>
      </c:catAx>
      <c:valAx>
        <c:axId val="130578688"/>
        <c:scaling>
          <c:logBase val="10"/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400"/>
                  <a:t>Miles </a:t>
                </a:r>
                <a:r>
                  <a:rPr lang="en-US" sz="1000"/>
                  <a:t>(logrithmic</a:t>
                </a:r>
                <a:r>
                  <a:rPr lang="en-US" sz="1000" baseline="0"/>
                  <a:t> Scale)</a:t>
                </a:r>
                <a:endParaRPr lang="en-US" sz="1400"/>
              </a:p>
            </c:rich>
          </c:tx>
        </c:title>
        <c:numFmt formatCode="General" sourceLinked="1"/>
        <c:tickLblPos val="nextTo"/>
        <c:crossAx val="13057676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CO2 Released by Recycling and Landfill</a:t>
            </a:r>
          </a:p>
        </c:rich>
      </c:tx>
      <c:layout>
        <c:manualLayout>
          <c:xMode val="edge"/>
          <c:yMode val="edge"/>
          <c:x val="0.17475408538756776"/>
          <c:y val="2.2779477406088572E-2"/>
        </c:manualLayout>
      </c:layout>
    </c:title>
    <c:plotArea>
      <c:layout/>
      <c:barChart>
        <c:barDir val="col"/>
        <c:grouping val="stacked"/>
        <c:ser>
          <c:idx val="0"/>
          <c:order val="0"/>
          <c:tx>
            <c:strRef>
              <c:f>'some changes - change much more'!$A$26</c:f>
              <c:strCache>
                <c:ptCount val="1"/>
                <c:pt idx="0">
                  <c:v>CO2 to Recycle</c:v>
                </c:pt>
              </c:strCache>
            </c:strRef>
          </c:tx>
          <c:dLbls>
            <c:showVal val="1"/>
          </c:dLbls>
          <c:cat>
            <c:strRef>
              <c:f>'some changes - change much more'!$B$25:$C$25</c:f>
              <c:strCache>
                <c:ptCount val="2"/>
                <c:pt idx="0">
                  <c:v>Multi-pure</c:v>
                </c:pt>
                <c:pt idx="1">
                  <c:v>Brita</c:v>
                </c:pt>
              </c:strCache>
            </c:strRef>
          </c:cat>
          <c:val>
            <c:numRef>
              <c:f>'some changes - change much more'!$B$26:$C$26</c:f>
              <c:numCache>
                <c:formatCode>0</c:formatCode>
                <c:ptCount val="2"/>
                <c:pt idx="0" formatCode="General">
                  <c:v>#N/A</c:v>
                </c:pt>
                <c:pt idx="1">
                  <c:v>474.38794661529982</c:v>
                </c:pt>
              </c:numCache>
            </c:numRef>
          </c:val>
        </c:ser>
        <c:ser>
          <c:idx val="1"/>
          <c:order val="1"/>
          <c:tx>
            <c:strRef>
              <c:f>'some changes - change much more'!$A$27</c:f>
              <c:strCache>
                <c:ptCount val="1"/>
                <c:pt idx="0">
                  <c:v>CO2 to Landfill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dLbls>
            <c:showVal val="1"/>
          </c:dLbls>
          <c:cat>
            <c:strRef>
              <c:f>'some changes - change much more'!$B$25:$C$25</c:f>
              <c:strCache>
                <c:ptCount val="2"/>
                <c:pt idx="0">
                  <c:v>Multi-pure</c:v>
                </c:pt>
                <c:pt idx="1">
                  <c:v>Brita</c:v>
                </c:pt>
              </c:strCache>
            </c:strRef>
          </c:cat>
          <c:val>
            <c:numRef>
              <c:f>'some changes - change much more'!$B$27:$C$27</c:f>
              <c:numCache>
                <c:formatCode>0</c:formatCode>
                <c:ptCount val="2"/>
                <c:pt idx="0">
                  <c:v>259.30634469696969</c:v>
                </c:pt>
                <c:pt idx="1">
                  <c:v>64.826586174242422</c:v>
                </c:pt>
              </c:numCache>
            </c:numRef>
          </c:val>
        </c:ser>
        <c:ser>
          <c:idx val="2"/>
          <c:order val="2"/>
          <c:tx>
            <c:strRef>
              <c:f>'some changes - change much more'!$A$28</c:f>
              <c:strCache>
                <c:ptCount val="1"/>
                <c:pt idx="0">
                  <c:v>CO2 to Transport</c:v>
                </c:pt>
              </c:strCache>
            </c:strRef>
          </c:tx>
          <c:dLbls>
            <c:showVal val="1"/>
          </c:dLbls>
          <c:cat>
            <c:strRef>
              <c:f>'some changes - change much more'!$B$25:$C$25</c:f>
              <c:strCache>
                <c:ptCount val="2"/>
                <c:pt idx="0">
                  <c:v>Multi-pure</c:v>
                </c:pt>
                <c:pt idx="1">
                  <c:v>Brita</c:v>
                </c:pt>
              </c:strCache>
            </c:strRef>
          </c:cat>
          <c:val>
            <c:numRef>
              <c:f>'some changes - change much more'!$B$28:$C$28</c:f>
              <c:numCache>
                <c:formatCode>0</c:formatCode>
                <c:ptCount val="2"/>
                <c:pt idx="0">
                  <c:v>182.42959378681999</c:v>
                </c:pt>
                <c:pt idx="1">
                  <c:v>571.55701713223129</c:v>
                </c:pt>
              </c:numCache>
            </c:numRef>
          </c:val>
        </c:ser>
        <c:overlap val="100"/>
        <c:axId val="130642304"/>
        <c:axId val="130644224"/>
      </c:barChart>
      <c:catAx>
        <c:axId val="1306423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Types of Filter Systems</a:t>
                </a:r>
              </a:p>
            </c:rich>
          </c:tx>
          <c:layout/>
        </c:title>
        <c:tickLblPos val="nextTo"/>
        <c:crossAx val="130644224"/>
        <c:crosses val="autoZero"/>
        <c:auto val="1"/>
        <c:lblAlgn val="ctr"/>
        <c:lblOffset val="100"/>
      </c:catAx>
      <c:valAx>
        <c:axId val="13064422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KgCO2</a:t>
                </a:r>
              </a:p>
            </c:rich>
          </c:tx>
          <c:layout/>
        </c:title>
        <c:numFmt formatCode="General" sourceLinked="1"/>
        <c:tickLblPos val="nextTo"/>
        <c:crossAx val="1306423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stacked"/>
        <c:ser>
          <c:idx val="0"/>
          <c:order val="0"/>
          <c:tx>
            <c:strRef>
              <c:f>'scratch sheet'!$A$21</c:f>
              <c:strCache>
                <c:ptCount val="1"/>
                <c:pt idx="0">
                  <c:v>Production</c:v>
                </c:pt>
              </c:strCache>
            </c:strRef>
          </c:tx>
          <c:cat>
            <c:strRef>
              <c:f>'scratch sheet'!$B$20:$C$20</c:f>
              <c:strCache>
                <c:ptCount val="2"/>
                <c:pt idx="0">
                  <c:v>Brita</c:v>
                </c:pt>
                <c:pt idx="1">
                  <c:v>MP</c:v>
                </c:pt>
              </c:strCache>
            </c:strRef>
          </c:cat>
          <c:val>
            <c:numRef>
              <c:f>'scratch sheet'!$B$21:$C$21</c:f>
              <c:numCache>
                <c:formatCode>General</c:formatCode>
                <c:ptCount val="2"/>
                <c:pt idx="0">
                  <c:v>50</c:v>
                </c:pt>
                <c:pt idx="1">
                  <c:v>70</c:v>
                </c:pt>
              </c:numCache>
            </c:numRef>
          </c:val>
        </c:ser>
        <c:ser>
          <c:idx val="1"/>
          <c:order val="1"/>
          <c:tx>
            <c:strRef>
              <c:f>'scratch sheet'!$A$22</c:f>
              <c:strCache>
                <c:ptCount val="1"/>
                <c:pt idx="0">
                  <c:v>Recyling CO2</c:v>
                </c:pt>
              </c:strCache>
            </c:strRef>
          </c:tx>
          <c:cat>
            <c:strRef>
              <c:f>'scratch sheet'!$B$20:$C$20</c:f>
              <c:strCache>
                <c:ptCount val="2"/>
                <c:pt idx="0">
                  <c:v>Brita</c:v>
                </c:pt>
                <c:pt idx="1">
                  <c:v>MP</c:v>
                </c:pt>
              </c:strCache>
            </c:strRef>
          </c:cat>
          <c:val>
            <c:numRef>
              <c:f>'scratch sheet'!$B$22:$C$22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val>
        </c:ser>
        <c:ser>
          <c:idx val="2"/>
          <c:order val="2"/>
          <c:tx>
            <c:strRef>
              <c:f>'scratch sheet'!$A$23</c:f>
              <c:strCache>
                <c:ptCount val="1"/>
                <c:pt idx="0">
                  <c:v>Dispoal CO2</c:v>
                </c:pt>
              </c:strCache>
            </c:strRef>
          </c:tx>
          <c:cat>
            <c:strRef>
              <c:f>'scratch sheet'!$B$20:$C$20</c:f>
              <c:strCache>
                <c:ptCount val="2"/>
                <c:pt idx="0">
                  <c:v>Brita</c:v>
                </c:pt>
                <c:pt idx="1">
                  <c:v>MP</c:v>
                </c:pt>
              </c:strCache>
            </c:strRef>
          </c:cat>
          <c:val>
            <c:numRef>
              <c:f>'scratch sheet'!$B$23:$C$23</c:f>
              <c:numCache>
                <c:formatCode>General</c:formatCode>
                <c:ptCount val="2"/>
                <c:pt idx="0">
                  <c:v>25</c:v>
                </c:pt>
                <c:pt idx="1">
                  <c:v>35</c:v>
                </c:pt>
              </c:numCache>
            </c:numRef>
          </c:val>
        </c:ser>
        <c:overlap val="100"/>
        <c:axId val="130511232"/>
        <c:axId val="130512768"/>
      </c:barChart>
      <c:catAx>
        <c:axId val="130511232"/>
        <c:scaling>
          <c:orientation val="minMax"/>
        </c:scaling>
        <c:axPos val="b"/>
        <c:tickLblPos val="nextTo"/>
        <c:crossAx val="130512768"/>
        <c:crosses val="autoZero"/>
        <c:auto val="1"/>
        <c:lblAlgn val="ctr"/>
        <c:lblOffset val="100"/>
      </c:catAx>
      <c:valAx>
        <c:axId val="130512768"/>
        <c:scaling>
          <c:orientation val="minMax"/>
        </c:scaling>
        <c:axPos val="l"/>
        <c:majorGridlines/>
        <c:numFmt formatCode="General" sourceLinked="1"/>
        <c:tickLblPos val="nextTo"/>
        <c:crossAx val="13051123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180975</xdr:rowOff>
    </xdr:from>
    <xdr:to>
      <xdr:col>4</xdr:col>
      <xdr:colOff>628650</xdr:colOff>
      <xdr:row>34</xdr:row>
      <xdr:rowOff>66675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85724</xdr:colOff>
      <xdr:row>11</xdr:row>
      <xdr:rowOff>190499</xdr:rowOff>
    </xdr:from>
    <xdr:to>
      <xdr:col>12</xdr:col>
      <xdr:colOff>428624</xdr:colOff>
      <xdr:row>29</xdr:row>
      <xdr:rowOff>85724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28</xdr:row>
      <xdr:rowOff>76200</xdr:rowOff>
    </xdr:from>
    <xdr:to>
      <xdr:col>11</xdr:col>
      <xdr:colOff>276225</xdr:colOff>
      <xdr:row>42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6"/>
  <sheetViews>
    <sheetView workbookViewId="0">
      <selection activeCell="J9" sqref="J9"/>
    </sheetView>
  </sheetViews>
  <sheetFormatPr defaultRowHeight="15"/>
  <cols>
    <col min="1" max="1" width="46.7109375" customWidth="1"/>
    <col min="2" max="2" width="14.42578125" customWidth="1"/>
    <col min="3" max="3" width="12.5703125" customWidth="1"/>
    <col min="4" max="4" width="10.5703125" customWidth="1"/>
    <col min="5" max="5" width="22.85546875" customWidth="1"/>
    <col min="7" max="7" width="46.85546875" customWidth="1"/>
    <col min="8" max="8" width="14.7109375" customWidth="1"/>
    <col min="9" max="9" width="18.28515625" customWidth="1"/>
    <col min="10" max="10" width="10.140625" customWidth="1"/>
  </cols>
  <sheetData>
    <row r="1" spans="1:10">
      <c r="A1" t="s">
        <v>83</v>
      </c>
      <c r="B1" s="56" t="s">
        <v>36</v>
      </c>
      <c r="C1" s="56"/>
      <c r="D1" s="56"/>
      <c r="E1" s="56" t="s">
        <v>37</v>
      </c>
      <c r="F1" s="56"/>
      <c r="G1" s="56"/>
    </row>
    <row r="3" spans="1:10">
      <c r="A3" t="s">
        <v>43</v>
      </c>
    </row>
    <row r="4" spans="1:10">
      <c r="A4" t="s">
        <v>44</v>
      </c>
      <c r="B4">
        <v>52.1</v>
      </c>
      <c r="C4" t="s">
        <v>45</v>
      </c>
      <c r="E4">
        <v>52.1</v>
      </c>
      <c r="F4" t="s">
        <v>45</v>
      </c>
    </row>
    <row r="5" spans="1:10">
      <c r="A5" t="s">
        <v>46</v>
      </c>
      <c r="B5">
        <v>10</v>
      </c>
      <c r="C5" t="s">
        <v>47</v>
      </c>
      <c r="E5">
        <v>10</v>
      </c>
      <c r="F5" t="s">
        <v>47</v>
      </c>
    </row>
    <row r="6" spans="1:10">
      <c r="A6" t="s">
        <v>48</v>
      </c>
      <c r="B6" t="s">
        <v>49</v>
      </c>
      <c r="C6" t="s">
        <v>50</v>
      </c>
      <c r="E6">
        <v>44</v>
      </c>
      <c r="F6" t="s">
        <v>50</v>
      </c>
    </row>
    <row r="7" spans="1:10">
      <c r="A7" t="s">
        <v>51</v>
      </c>
      <c r="E7" s="2"/>
    </row>
    <row r="8" spans="1:10">
      <c r="A8" t="s">
        <v>52</v>
      </c>
      <c r="B8">
        <v>0</v>
      </c>
      <c r="C8" t="s">
        <v>6</v>
      </c>
      <c r="E8" s="2">
        <v>6914</v>
      </c>
      <c r="F8" t="s">
        <v>6</v>
      </c>
      <c r="H8" s="1"/>
      <c r="I8" s="1" t="s">
        <v>82</v>
      </c>
      <c r="J8" s="1" t="s">
        <v>37</v>
      </c>
    </row>
    <row r="9" spans="1:10">
      <c r="A9" t="s">
        <v>53</v>
      </c>
      <c r="B9">
        <v>420</v>
      </c>
      <c r="C9" t="s">
        <v>54</v>
      </c>
      <c r="E9">
        <v>647</v>
      </c>
      <c r="F9" t="s">
        <v>54</v>
      </c>
      <c r="H9" s="1" t="s">
        <v>80</v>
      </c>
      <c r="I9" s="1"/>
      <c r="J9" s="37">
        <f>(($E$17/$E$16)*$E$18*$B$45*(1/$E$4)*$E$33)</f>
        <v>599.30861104968551</v>
      </c>
    </row>
    <row r="10" spans="1:10">
      <c r="A10" t="s">
        <v>55</v>
      </c>
      <c r="B10">
        <v>279</v>
      </c>
      <c r="C10" t="s">
        <v>54</v>
      </c>
      <c r="E10">
        <v>1023</v>
      </c>
      <c r="F10" t="s">
        <v>54</v>
      </c>
      <c r="H10" s="1" t="s">
        <v>81</v>
      </c>
      <c r="I10" s="37">
        <f>(($E$14/$E$13)*$E$15*$B$45*(1/$E$5)*$E$31)</f>
        <v>187.10471999999999</v>
      </c>
      <c r="J10" s="37">
        <f>(($B$14/$B$13)*$B$15*$B$45*(1/$B$5)*$B$34)</f>
        <v>187.10471999999999</v>
      </c>
    </row>
    <row r="11" spans="1:10">
      <c r="A11" t="s">
        <v>56</v>
      </c>
      <c r="B11">
        <f>B9+B10</f>
        <v>699</v>
      </c>
      <c r="C11" t="s">
        <v>54</v>
      </c>
      <c r="E11">
        <f>E9+E10</f>
        <v>1670</v>
      </c>
      <c r="F11" t="s">
        <v>54</v>
      </c>
    </row>
    <row r="12" spans="1:10">
      <c r="A12" t="s">
        <v>57</v>
      </c>
    </row>
    <row r="13" spans="1:10">
      <c r="A13" t="s">
        <v>58</v>
      </c>
      <c r="B13">
        <v>170</v>
      </c>
      <c r="C13" t="s">
        <v>59</v>
      </c>
      <c r="E13">
        <v>170</v>
      </c>
      <c r="F13" t="s">
        <v>59</v>
      </c>
    </row>
    <row r="14" spans="1:10">
      <c r="A14" t="s">
        <v>60</v>
      </c>
      <c r="B14">
        <v>528</v>
      </c>
      <c r="C14" t="s">
        <v>61</v>
      </c>
      <c r="E14">
        <v>528</v>
      </c>
      <c r="F14" t="s">
        <v>61</v>
      </c>
    </row>
    <row r="15" spans="1:10">
      <c r="A15" t="s">
        <v>62</v>
      </c>
      <c r="B15">
        <v>850</v>
      </c>
      <c r="C15" t="s">
        <v>63</v>
      </c>
      <c r="E15">
        <v>850</v>
      </c>
      <c r="F15" t="s">
        <v>63</v>
      </c>
    </row>
    <row r="16" spans="1:10">
      <c r="A16" t="s">
        <v>64</v>
      </c>
      <c r="B16">
        <v>167</v>
      </c>
      <c r="C16" t="s">
        <v>65</v>
      </c>
      <c r="E16">
        <v>167</v>
      </c>
      <c r="F16" t="s">
        <v>65</v>
      </c>
    </row>
    <row r="17" spans="1:6">
      <c r="A17" t="s">
        <v>60</v>
      </c>
      <c r="B17">
        <v>528</v>
      </c>
      <c r="C17" t="s">
        <v>61</v>
      </c>
      <c r="E17">
        <v>528</v>
      </c>
      <c r="F17" t="s">
        <v>61</v>
      </c>
    </row>
    <row r="18" spans="1:6">
      <c r="A18" t="s">
        <v>66</v>
      </c>
      <c r="B18">
        <v>811</v>
      </c>
      <c r="C18" t="s">
        <v>67</v>
      </c>
      <c r="E18">
        <v>811</v>
      </c>
      <c r="F18" t="s">
        <v>67</v>
      </c>
    </row>
    <row r="19" spans="1:6">
      <c r="A19" t="s">
        <v>68</v>
      </c>
      <c r="B19" t="s">
        <v>49</v>
      </c>
      <c r="E19">
        <v>282</v>
      </c>
      <c r="F19" t="s">
        <v>69</v>
      </c>
    </row>
    <row r="20" spans="1:6">
      <c r="A20" t="s">
        <v>60</v>
      </c>
      <c r="B20" t="s">
        <v>49</v>
      </c>
      <c r="E20">
        <v>880</v>
      </c>
      <c r="F20" t="s">
        <v>61</v>
      </c>
    </row>
    <row r="21" spans="1:6">
      <c r="A21" t="s">
        <v>70</v>
      </c>
      <c r="B21" t="s">
        <v>49</v>
      </c>
      <c r="E21">
        <v>784</v>
      </c>
      <c r="F21" t="s">
        <v>71</v>
      </c>
    </row>
    <row r="22" spans="1:6">
      <c r="A22" t="s">
        <v>72</v>
      </c>
    </row>
    <row r="23" spans="1:6">
      <c r="A23" t="s">
        <v>73</v>
      </c>
      <c r="B23" s="36">
        <f>((B17/B16)*B18*B45*(1/B4)*B9)</f>
        <v>78.340994908455627</v>
      </c>
      <c r="C23" t="s">
        <v>26</v>
      </c>
      <c r="E23" s="36">
        <f>((E17/E16)*E18*B45*(1/E4)*E9)</f>
        <v>120.68243739469236</v>
      </c>
      <c r="F23" t="s">
        <v>26</v>
      </c>
    </row>
    <row r="24" spans="1:6">
      <c r="A24" t="s">
        <v>74</v>
      </c>
      <c r="B24">
        <v>0</v>
      </c>
      <c r="E24" s="36">
        <f>((E20/E19)*E21*B45*(1/E6)*E8)</f>
        <v>1457.0200737588652</v>
      </c>
      <c r="F24" t="s">
        <v>26</v>
      </c>
    </row>
    <row r="25" spans="1:6">
      <c r="A25" t="s">
        <v>75</v>
      </c>
      <c r="B25" s="36">
        <f>((B14/B13)*B15*B45*(1/B5)*B10)</f>
        <v>279.15623999999997</v>
      </c>
      <c r="C25" t="s">
        <v>26</v>
      </c>
      <c r="E25" s="36">
        <f>((E14/E13)*E15*B45*(1/E5)*E10)</f>
        <v>1023.5728799999999</v>
      </c>
      <c r="F25" t="s">
        <v>26</v>
      </c>
    </row>
    <row r="26" spans="1:6">
      <c r="A26" t="s">
        <v>76</v>
      </c>
      <c r="B26" s="36">
        <f>B23+B24+B25</f>
        <v>357.4972349084556</v>
      </c>
      <c r="C26" t="s">
        <v>26</v>
      </c>
      <c r="E26" s="2">
        <f>E23+E24+E25</f>
        <v>2601.2753911535574</v>
      </c>
      <c r="F26" t="s">
        <v>26</v>
      </c>
    </row>
    <row r="27" spans="1:6">
      <c r="A27" t="s">
        <v>77</v>
      </c>
      <c r="B27" s="36">
        <f>B26*B46</f>
        <v>107.24917047253668</v>
      </c>
      <c r="C27" t="s">
        <v>31</v>
      </c>
      <c r="E27" s="36">
        <f>E26*B46</f>
        <v>780.38261734606715</v>
      </c>
      <c r="F27" t="s">
        <v>31</v>
      </c>
    </row>
    <row r="28" spans="1:6">
      <c r="A28" t="s">
        <v>0</v>
      </c>
      <c r="B28" s="36"/>
    </row>
    <row r="29" spans="1:6">
      <c r="A29" t="s">
        <v>1</v>
      </c>
      <c r="B29" t="s">
        <v>2</v>
      </c>
      <c r="E29" t="s">
        <v>3</v>
      </c>
    </row>
    <row r="30" spans="1:6">
      <c r="A30" t="s">
        <v>4</v>
      </c>
      <c r="B30" t="s">
        <v>2</v>
      </c>
      <c r="E30" t="s">
        <v>3</v>
      </c>
    </row>
    <row r="31" spans="1:6">
      <c r="A31" t="s">
        <v>5</v>
      </c>
      <c r="B31">
        <v>187</v>
      </c>
      <c r="C31" t="s">
        <v>6</v>
      </c>
      <c r="E31">
        <v>187</v>
      </c>
      <c r="F31" t="s">
        <v>6</v>
      </c>
    </row>
    <row r="32" spans="1:6">
      <c r="A32" t="s">
        <v>7</v>
      </c>
      <c r="B32">
        <v>0</v>
      </c>
      <c r="C32" t="s">
        <v>8</v>
      </c>
      <c r="E32">
        <v>0.8</v>
      </c>
      <c r="F32" t="s">
        <v>9</v>
      </c>
    </row>
    <row r="33" spans="1:6">
      <c r="A33" t="s">
        <v>10</v>
      </c>
      <c r="B33">
        <v>0</v>
      </c>
      <c r="C33" t="s">
        <v>6</v>
      </c>
      <c r="E33">
        <v>3213</v>
      </c>
      <c r="F33" t="s">
        <v>6</v>
      </c>
    </row>
    <row r="34" spans="1:6">
      <c r="A34" t="s">
        <v>11</v>
      </c>
      <c r="B34">
        <v>187</v>
      </c>
      <c r="C34" t="s">
        <v>6</v>
      </c>
      <c r="E34">
        <v>3400.8</v>
      </c>
      <c r="F34" t="s">
        <v>6</v>
      </c>
    </row>
    <row r="35" spans="1:6">
      <c r="A35" t="s">
        <v>12</v>
      </c>
      <c r="B35">
        <v>17021</v>
      </c>
      <c r="C35" t="s">
        <v>13</v>
      </c>
      <c r="E35">
        <v>17021</v>
      </c>
      <c r="F35" t="s">
        <v>13</v>
      </c>
    </row>
    <row r="36" spans="1:6">
      <c r="A36" t="s">
        <v>14</v>
      </c>
      <c r="B36">
        <v>0</v>
      </c>
      <c r="C36" t="s">
        <v>13</v>
      </c>
      <c r="E36">
        <v>13616.8</v>
      </c>
      <c r="F36" t="s">
        <v>13</v>
      </c>
    </row>
    <row r="37" spans="1:6">
      <c r="A37" t="s">
        <v>25</v>
      </c>
      <c r="B37" s="36">
        <f>(($B$14/$B$13)*$B$15*$B$45*(1/$B$5)*$B$34)</f>
        <v>187.10471999999999</v>
      </c>
      <c r="C37" t="s">
        <v>26</v>
      </c>
      <c r="E37" s="36">
        <f>(($E$14/$E$13)*$E$15*$B$45*(1/$E$5)*$E$31)</f>
        <v>187.10471999999999</v>
      </c>
      <c r="F37" t="s">
        <v>26</v>
      </c>
    </row>
    <row r="38" spans="1:6">
      <c r="A38" t="s">
        <v>27</v>
      </c>
      <c r="B38">
        <v>0</v>
      </c>
      <c r="E38" s="36">
        <f>(($E$17/$E$16)*$E$18*$B$45*(1/$E$4)*$E$33)</f>
        <v>599.30861104968551</v>
      </c>
      <c r="F38" t="s">
        <v>26</v>
      </c>
    </row>
    <row r="39" spans="1:6">
      <c r="A39" t="s">
        <v>28</v>
      </c>
      <c r="B39" s="36">
        <f>B37+B38</f>
        <v>187.10471999999999</v>
      </c>
      <c r="C39" t="s">
        <v>29</v>
      </c>
      <c r="E39" s="36">
        <f>E37+E38</f>
        <v>786.41333104968544</v>
      </c>
      <c r="F39" t="s">
        <v>29</v>
      </c>
    </row>
    <row r="40" spans="1:6">
      <c r="A40" t="s">
        <v>30</v>
      </c>
      <c r="B40" s="36">
        <f>B37*B46</f>
        <v>56.131415999999994</v>
      </c>
      <c r="C40" t="s">
        <v>31</v>
      </c>
      <c r="E40" s="36">
        <f>E39*B46</f>
        <v>235.92399931490561</v>
      </c>
      <c r="F40" t="s">
        <v>31</v>
      </c>
    </row>
    <row r="41" spans="1:6">
      <c r="A41" t="s">
        <v>32</v>
      </c>
      <c r="B41" s="36">
        <f>B37+B26</f>
        <v>544.60195490845558</v>
      </c>
      <c r="C41" t="s">
        <v>26</v>
      </c>
      <c r="E41" s="36">
        <f>E39+E26</f>
        <v>3387.6887222032428</v>
      </c>
      <c r="F41" t="s">
        <v>29</v>
      </c>
    </row>
    <row r="42" spans="1:6">
      <c r="A42" t="s">
        <v>33</v>
      </c>
      <c r="B42" s="36">
        <f>B40+B27</f>
        <v>163.38058647253666</v>
      </c>
      <c r="C42" t="s">
        <v>31</v>
      </c>
      <c r="E42" s="2">
        <f>E40+E27</f>
        <v>1016.3066166609727</v>
      </c>
      <c r="F42" t="s">
        <v>34</v>
      </c>
    </row>
    <row r="45" spans="1:6">
      <c r="A45" t="s">
        <v>84</v>
      </c>
      <c r="B45">
        <v>3.79E-3</v>
      </c>
      <c r="C45" t="s">
        <v>78</v>
      </c>
    </row>
    <row r="46" spans="1:6">
      <c r="B46">
        <v>0.3</v>
      </c>
      <c r="C46" t="s">
        <v>79</v>
      </c>
    </row>
  </sheetData>
  <mergeCells count="2">
    <mergeCell ref="E1:G1"/>
    <mergeCell ref="B1:D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9"/>
  <sheetViews>
    <sheetView topLeftCell="A9" workbookViewId="0">
      <selection activeCell="F33" sqref="F33"/>
    </sheetView>
  </sheetViews>
  <sheetFormatPr defaultRowHeight="15"/>
  <cols>
    <col min="1" max="1" width="23" customWidth="1"/>
    <col min="2" max="2" width="10.140625" customWidth="1"/>
    <col min="3" max="3" width="15.140625" customWidth="1"/>
    <col min="4" max="4" width="10.85546875" customWidth="1"/>
    <col min="5" max="5" width="22.7109375" customWidth="1"/>
    <col min="6" max="6" width="10.42578125" customWidth="1"/>
    <col min="7" max="7" width="13" customWidth="1"/>
  </cols>
  <sheetData>
    <row r="1" spans="1:7" ht="19.5" thickBot="1">
      <c r="A1" s="60" t="s">
        <v>40</v>
      </c>
      <c r="B1" s="61"/>
      <c r="C1" s="62"/>
      <c r="D1" s="25"/>
      <c r="E1" s="63" t="s">
        <v>37</v>
      </c>
      <c r="F1" s="64"/>
      <c r="G1" s="65"/>
    </row>
    <row r="2" spans="1:7" ht="15.75" thickBot="1">
      <c r="A2" s="66" t="s">
        <v>15</v>
      </c>
      <c r="B2" s="67"/>
      <c r="C2" s="68"/>
      <c r="D2" s="25"/>
      <c r="E2" s="69" t="s">
        <v>15</v>
      </c>
      <c r="F2" s="70"/>
      <c r="G2" s="71"/>
    </row>
    <row r="3" spans="1:7">
      <c r="A3" s="15" t="s">
        <v>16</v>
      </c>
      <c r="B3" s="15">
        <v>1</v>
      </c>
      <c r="C3" s="16" t="s">
        <v>24</v>
      </c>
      <c r="D3" s="26"/>
      <c r="E3" s="17" t="s">
        <v>16</v>
      </c>
      <c r="F3" s="18">
        <v>3213</v>
      </c>
      <c r="G3" s="18" t="s">
        <v>24</v>
      </c>
    </row>
    <row r="4" spans="1:7">
      <c r="A4" s="19" t="s">
        <v>17</v>
      </c>
      <c r="B4" s="19">
        <v>1</v>
      </c>
      <c r="C4" s="20" t="s">
        <v>18</v>
      </c>
      <c r="D4" s="26"/>
      <c r="E4" s="21" t="s">
        <v>17</v>
      </c>
      <c r="F4" s="22">
        <v>300</v>
      </c>
      <c r="G4" s="22" t="s">
        <v>18</v>
      </c>
    </row>
    <row r="5" spans="1:7">
      <c r="A5" s="19" t="s">
        <v>41</v>
      </c>
      <c r="B5" s="19">
        <v>1</v>
      </c>
      <c r="C5" s="20" t="s">
        <v>18</v>
      </c>
      <c r="D5" s="26"/>
      <c r="E5" s="21" t="s">
        <v>41</v>
      </c>
      <c r="F5" s="22">
        <v>100</v>
      </c>
      <c r="G5" s="22" t="s">
        <v>19</v>
      </c>
    </row>
    <row r="6" spans="1:7">
      <c r="A6" s="19" t="s">
        <v>38</v>
      </c>
      <c r="B6" s="23">
        <v>0</v>
      </c>
      <c r="C6" s="20" t="s">
        <v>8</v>
      </c>
      <c r="D6" s="26"/>
      <c r="E6" s="21" t="s">
        <v>38</v>
      </c>
      <c r="F6" s="24">
        <v>0.8</v>
      </c>
      <c r="G6" s="22" t="s">
        <v>8</v>
      </c>
    </row>
    <row r="7" spans="1:7">
      <c r="A7" s="19" t="s">
        <v>20</v>
      </c>
      <c r="B7" s="33">
        <f>B3*B4*B6/B5</f>
        <v>0</v>
      </c>
      <c r="C7" s="20" t="s">
        <v>23</v>
      </c>
      <c r="D7" s="26"/>
      <c r="E7" s="21" t="s">
        <v>20</v>
      </c>
      <c r="F7" s="35">
        <f>F3*F4*F6/F5</f>
        <v>7711.2</v>
      </c>
      <c r="G7" s="22" t="s">
        <v>23</v>
      </c>
    </row>
    <row r="8" spans="1:7" ht="15.75" thickBot="1">
      <c r="A8" s="27"/>
      <c r="B8" s="28"/>
      <c r="C8" s="28"/>
      <c r="D8" s="26"/>
      <c r="E8" s="28"/>
      <c r="F8" s="28"/>
      <c r="G8" s="29"/>
    </row>
    <row r="9" spans="1:7" ht="15.75" thickBot="1">
      <c r="A9" s="72" t="s">
        <v>21</v>
      </c>
      <c r="B9" s="73"/>
      <c r="C9" s="74"/>
      <c r="D9" s="25"/>
      <c r="E9" s="72" t="s">
        <v>21</v>
      </c>
      <c r="F9" s="73"/>
      <c r="G9" s="74"/>
    </row>
    <row r="10" spans="1:7">
      <c r="A10" s="12" t="s">
        <v>16</v>
      </c>
      <c r="B10" s="12">
        <v>187</v>
      </c>
      <c r="C10" s="13" t="s">
        <v>24</v>
      </c>
      <c r="D10" s="26"/>
      <c r="E10" s="14" t="s">
        <v>16</v>
      </c>
      <c r="F10" s="12">
        <v>187</v>
      </c>
      <c r="G10" s="12" t="s">
        <v>24</v>
      </c>
    </row>
    <row r="11" spans="1:7">
      <c r="A11" s="6" t="s">
        <v>17</v>
      </c>
      <c r="B11" s="6">
        <v>750</v>
      </c>
      <c r="C11" s="10" t="s">
        <v>18</v>
      </c>
      <c r="D11" s="26"/>
      <c r="E11" s="5" t="s">
        <v>17</v>
      </c>
      <c r="F11" s="6">
        <v>300</v>
      </c>
      <c r="G11" s="6" t="s">
        <v>18</v>
      </c>
    </row>
    <row r="12" spans="1:7">
      <c r="A12" s="6" t="s">
        <v>41</v>
      </c>
      <c r="B12" s="6">
        <v>750</v>
      </c>
      <c r="C12" s="10" t="s">
        <v>19</v>
      </c>
      <c r="D12" s="26"/>
      <c r="E12" s="5" t="s">
        <v>41</v>
      </c>
      <c r="F12" s="6">
        <v>100</v>
      </c>
      <c r="G12" s="6" t="s">
        <v>19</v>
      </c>
    </row>
    <row r="13" spans="1:7">
      <c r="A13" s="9" t="s">
        <v>39</v>
      </c>
      <c r="B13" s="8">
        <f>100%-B6</f>
        <v>1</v>
      </c>
      <c r="C13" s="11" t="s">
        <v>8</v>
      </c>
      <c r="D13" s="26"/>
      <c r="E13" s="7" t="s">
        <v>39</v>
      </c>
      <c r="F13" s="8">
        <f>100%-F6</f>
        <v>0.19999999999999996</v>
      </c>
      <c r="G13" s="9" t="s">
        <v>8</v>
      </c>
    </row>
    <row r="14" spans="1:7">
      <c r="A14" s="6" t="s">
        <v>22</v>
      </c>
      <c r="B14" s="31">
        <f>B10*B11*B13/B12</f>
        <v>187</v>
      </c>
      <c r="C14" s="10" t="s">
        <v>23</v>
      </c>
      <c r="D14" s="26"/>
      <c r="E14" s="5" t="s">
        <v>22</v>
      </c>
      <c r="F14" s="3">
        <f>F10*F11*F13/F12</f>
        <v>112.19999999999999</v>
      </c>
      <c r="G14" s="6" t="s">
        <v>23</v>
      </c>
    </row>
    <row r="16" spans="1:7">
      <c r="A16" s="1"/>
      <c r="B16" s="32" t="s">
        <v>36</v>
      </c>
      <c r="C16" s="32" t="s">
        <v>37</v>
      </c>
    </row>
    <row r="17" spans="1:3">
      <c r="A17" s="30" t="s">
        <v>35</v>
      </c>
      <c r="B17" s="4">
        <f>B7</f>
        <v>0</v>
      </c>
      <c r="C17" s="34">
        <f>F7</f>
        <v>7711.2</v>
      </c>
    </row>
    <row r="18" spans="1:3">
      <c r="A18" s="6" t="s">
        <v>21</v>
      </c>
      <c r="B18" s="31">
        <f>B14</f>
        <v>187</v>
      </c>
      <c r="C18" s="3">
        <f>F14</f>
        <v>112.19999999999999</v>
      </c>
    </row>
    <row r="19" spans="1:3" ht="39.75" customHeight="1">
      <c r="A19" s="57" t="s">
        <v>42</v>
      </c>
      <c r="B19" s="58"/>
      <c r="C19" s="59"/>
    </row>
  </sheetData>
  <mergeCells count="7">
    <mergeCell ref="A19:C19"/>
    <mergeCell ref="A1:C1"/>
    <mergeCell ref="E1:G1"/>
    <mergeCell ref="A2:C2"/>
    <mergeCell ref="E2:G2"/>
    <mergeCell ref="A9:C9"/>
    <mergeCell ref="E9:G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7"/>
  <sheetViews>
    <sheetView tabSelected="1" workbookViewId="0">
      <selection activeCell="A3" sqref="A3"/>
    </sheetView>
  </sheetViews>
  <sheetFormatPr defaultRowHeight="15"/>
  <cols>
    <col min="1" max="1" width="29.7109375" customWidth="1"/>
    <col min="2" max="2" width="10.28515625" customWidth="1"/>
    <col min="3" max="3" width="24.85546875" customWidth="1"/>
    <col min="4" max="4" width="27.5703125" customWidth="1"/>
    <col min="6" max="6" width="17.7109375" customWidth="1"/>
    <col min="7" max="7" width="19.5703125" customWidth="1"/>
    <col min="8" max="8" width="16" customWidth="1"/>
    <col min="9" max="9" width="17.140625" customWidth="1"/>
  </cols>
  <sheetData>
    <row r="1" spans="1:9" ht="21">
      <c r="A1" s="84" t="s">
        <v>36</v>
      </c>
      <c r="B1" s="84"/>
      <c r="C1" s="84" t="s">
        <v>37</v>
      </c>
      <c r="D1" s="84"/>
    </row>
    <row r="2" spans="1:9" ht="30">
      <c r="A2" s="85" t="s">
        <v>129</v>
      </c>
      <c r="B2" s="86">
        <v>1</v>
      </c>
      <c r="C2" s="85" t="s">
        <v>129</v>
      </c>
      <c r="D2" s="83">
        <v>0.75</v>
      </c>
      <c r="F2" s="51" t="s">
        <v>98</v>
      </c>
      <c r="G2" s="51" t="s">
        <v>99</v>
      </c>
    </row>
    <row r="3" spans="1:9" ht="42.75">
      <c r="A3" s="85" t="s">
        <v>134</v>
      </c>
      <c r="B3" s="85" t="e">
        <v>#N/A</v>
      </c>
      <c r="C3" s="85" t="s">
        <v>113</v>
      </c>
      <c r="D3" s="1">
        <v>3213</v>
      </c>
      <c r="F3" s="51">
        <v>500</v>
      </c>
      <c r="G3" s="52">
        <v>100</v>
      </c>
      <c r="H3" s="52" t="s">
        <v>6</v>
      </c>
    </row>
    <row r="4" spans="1:9" ht="30">
      <c r="A4" s="85" t="s">
        <v>114</v>
      </c>
      <c r="B4" s="85">
        <v>500</v>
      </c>
      <c r="C4" s="85" t="s">
        <v>114</v>
      </c>
      <c r="D4" s="1">
        <v>500</v>
      </c>
      <c r="F4" s="51"/>
      <c r="G4" s="52"/>
      <c r="H4" s="52"/>
    </row>
    <row r="5" spans="1:9" ht="30">
      <c r="A5" s="85" t="s">
        <v>126</v>
      </c>
      <c r="B5" s="85">
        <v>800</v>
      </c>
      <c r="C5" s="85" t="s">
        <v>120</v>
      </c>
      <c r="D5" s="1">
        <v>300</v>
      </c>
      <c r="F5" s="51"/>
      <c r="G5" s="52"/>
      <c r="H5" s="52"/>
    </row>
    <row r="6" spans="1:9">
      <c r="F6" s="51"/>
      <c r="G6" s="52"/>
      <c r="H6" s="52"/>
    </row>
    <row r="8" spans="1:9" ht="18.75">
      <c r="A8" s="75" t="s">
        <v>93</v>
      </c>
      <c r="B8" s="75"/>
      <c r="C8" s="75"/>
      <c r="D8" s="75" t="s">
        <v>94</v>
      </c>
      <c r="E8" s="75"/>
      <c r="F8" s="75"/>
      <c r="G8" s="75" t="s">
        <v>116</v>
      </c>
      <c r="H8" s="75"/>
      <c r="I8" s="75"/>
    </row>
    <row r="9" spans="1:9">
      <c r="A9" s="42" t="s">
        <v>91</v>
      </c>
      <c r="B9" s="49">
        <f>Data!B17/Data!B16</f>
        <v>3.1616766467065869</v>
      </c>
      <c r="C9" s="43" t="s">
        <v>92</v>
      </c>
      <c r="D9" s="42" t="s">
        <v>111</v>
      </c>
      <c r="E9" s="49">
        <f>Data!B15/Data!B14</f>
        <v>1.6098484848484849</v>
      </c>
      <c r="F9" s="43" t="s">
        <v>112</v>
      </c>
      <c r="G9" s="42" t="s">
        <v>119</v>
      </c>
      <c r="H9" s="49">
        <f>Data!E21/Data!E20</f>
        <v>0.89090909090909087</v>
      </c>
      <c r="I9" s="43" t="s">
        <v>112</v>
      </c>
    </row>
    <row r="10" spans="1:9">
      <c r="A10" s="42" t="s">
        <v>66</v>
      </c>
      <c r="B10" s="43">
        <f>Data!B18</f>
        <v>811</v>
      </c>
      <c r="C10" s="43" t="s">
        <v>67</v>
      </c>
      <c r="D10" s="42" t="s">
        <v>62</v>
      </c>
      <c r="E10" s="43">
        <v>850</v>
      </c>
      <c r="F10" s="43" t="s">
        <v>63</v>
      </c>
      <c r="G10" s="43" t="s">
        <v>117</v>
      </c>
      <c r="H10" s="43">
        <f>Data!E21</f>
        <v>784</v>
      </c>
      <c r="I10" s="43" t="s">
        <v>63</v>
      </c>
    </row>
    <row r="11" spans="1:9" ht="15" customHeight="1">
      <c r="A11" s="42" t="s">
        <v>95</v>
      </c>
      <c r="B11" s="43">
        <f>Data!B4</f>
        <v>52.1</v>
      </c>
      <c r="C11" s="43" t="s">
        <v>45</v>
      </c>
      <c r="D11" s="42" t="s">
        <v>95</v>
      </c>
      <c r="E11" s="43">
        <v>10</v>
      </c>
      <c r="F11" s="43" t="s">
        <v>47</v>
      </c>
      <c r="G11" s="43" t="s">
        <v>118</v>
      </c>
      <c r="H11" s="43">
        <f>Data!E6</f>
        <v>44</v>
      </c>
      <c r="I11" s="43" t="s">
        <v>47</v>
      </c>
    </row>
    <row r="13" spans="1:9" ht="18.75">
      <c r="A13" s="75" t="s">
        <v>40</v>
      </c>
      <c r="B13" s="75"/>
      <c r="C13" s="75"/>
      <c r="D13" s="75" t="s">
        <v>37</v>
      </c>
      <c r="E13" s="75"/>
      <c r="F13" s="75"/>
    </row>
    <row r="14" spans="1:9">
      <c r="A14" s="76" t="s">
        <v>89</v>
      </c>
      <c r="B14" s="76"/>
      <c r="C14" s="76"/>
      <c r="D14" s="76" t="s">
        <v>88</v>
      </c>
      <c r="E14" s="76"/>
      <c r="F14" s="76"/>
    </row>
    <row r="15" spans="1:9" ht="15" customHeight="1">
      <c r="A15" s="44" t="s">
        <v>96</v>
      </c>
      <c r="B15" s="46" t="e">
        <f>IF(B3&gt;F3,G3,B3)</f>
        <v>#N/A</v>
      </c>
      <c r="C15" s="45" t="s">
        <v>6</v>
      </c>
      <c r="D15" s="44" t="s">
        <v>96</v>
      </c>
      <c r="E15" s="45">
        <f>IF(D3&gt;F3,G3,D3)</f>
        <v>100</v>
      </c>
      <c r="F15" s="45" t="s">
        <v>6</v>
      </c>
    </row>
    <row r="16" spans="1:9">
      <c r="A16" s="42" t="s">
        <v>97</v>
      </c>
      <c r="B16" s="43" t="e">
        <f>IF(B3&gt;F3,B3-G3,0)</f>
        <v>#N/A</v>
      </c>
      <c r="C16" s="43" t="s">
        <v>6</v>
      </c>
      <c r="D16" s="42" t="s">
        <v>97</v>
      </c>
      <c r="E16" s="43">
        <f>IF(D3&gt;F3,D3-G3,0)</f>
        <v>3113</v>
      </c>
      <c r="F16" s="43" t="s">
        <v>6</v>
      </c>
    </row>
    <row r="17" spans="1:6">
      <c r="A17" s="43" t="s">
        <v>100</v>
      </c>
      <c r="B17" s="54" t="e">
        <f>B16/B11*Data!B45*B10*B9</f>
        <v>#N/A</v>
      </c>
      <c r="C17" s="43" t="s">
        <v>101</v>
      </c>
      <c r="D17" s="43" t="s">
        <v>100</v>
      </c>
      <c r="E17" s="54">
        <f>E16/B11*Data!B45*B10*B9+E15/E11*Data!B45*E10*E9</f>
        <v>632.5172621537331</v>
      </c>
      <c r="F17" s="43" t="s">
        <v>101</v>
      </c>
    </row>
    <row r="18" spans="1:6" ht="30">
      <c r="A18" s="44" t="s">
        <v>133</v>
      </c>
      <c r="B18" s="45" t="e">
        <f>B2*B17</f>
        <v>#N/A</v>
      </c>
      <c r="C18" s="45"/>
      <c r="D18" s="44" t="s">
        <v>131</v>
      </c>
      <c r="E18" s="79">
        <f>D2*E17</f>
        <v>474.38794661529982</v>
      </c>
      <c r="F18" s="43" t="s">
        <v>101</v>
      </c>
    </row>
    <row r="19" spans="1:6">
      <c r="A19" s="38"/>
      <c r="B19" s="39"/>
      <c r="C19" s="39"/>
      <c r="D19" s="38"/>
      <c r="E19" s="39"/>
      <c r="F19" s="39"/>
    </row>
    <row r="20" spans="1:6">
      <c r="A20" s="77" t="s">
        <v>85</v>
      </c>
      <c r="B20" s="77"/>
      <c r="C20" s="77"/>
      <c r="D20" s="77" t="s">
        <v>86</v>
      </c>
      <c r="E20" s="77"/>
      <c r="F20" s="77"/>
    </row>
    <row r="21" spans="1:6">
      <c r="A21" s="40" t="s">
        <v>115</v>
      </c>
      <c r="B21" s="55">
        <f>(B22/E11)*(Data!B45)*E10*E9</f>
        <v>259.30634469696969</v>
      </c>
      <c r="C21" s="41" t="s">
        <v>61</v>
      </c>
      <c r="D21" s="40" t="s">
        <v>115</v>
      </c>
      <c r="E21" s="55">
        <f>(E22/E11)*(Data!B45)*E10*E9</f>
        <v>259.30634469696969</v>
      </c>
      <c r="F21" s="41" t="s">
        <v>130</v>
      </c>
    </row>
    <row r="22" spans="1:6">
      <c r="A22" s="40" t="s">
        <v>5</v>
      </c>
      <c r="B22" s="41">
        <f>B4</f>
        <v>500</v>
      </c>
      <c r="C22" s="41" t="s">
        <v>6</v>
      </c>
      <c r="D22" s="40" t="s">
        <v>5</v>
      </c>
      <c r="E22" s="41">
        <f>B4</f>
        <v>500</v>
      </c>
      <c r="F22" s="41" t="s">
        <v>6</v>
      </c>
    </row>
    <row r="23" spans="1:6" ht="30">
      <c r="A23" s="40" t="s">
        <v>132</v>
      </c>
      <c r="B23" s="41" t="e">
        <f>B21*(1-A2)</f>
        <v>#VALUE!</v>
      </c>
      <c r="C23" s="41" t="s">
        <v>130</v>
      </c>
      <c r="D23" s="40" t="s">
        <v>132</v>
      </c>
      <c r="E23" s="41">
        <f>E21*(1-D2)</f>
        <v>64.826586174242422</v>
      </c>
      <c r="F23" s="41" t="s">
        <v>130</v>
      </c>
    </row>
    <row r="24" spans="1:6">
      <c r="A24" s="80"/>
      <c r="B24" s="81"/>
      <c r="C24" s="81"/>
      <c r="D24" s="82"/>
      <c r="E24" s="25"/>
      <c r="F24" s="25"/>
    </row>
    <row r="25" spans="1:6">
      <c r="A25" s="48"/>
      <c r="B25" s="48" t="s">
        <v>82</v>
      </c>
      <c r="C25" s="48" t="s">
        <v>37</v>
      </c>
    </row>
    <row r="26" spans="1:6">
      <c r="A26" s="43" t="s">
        <v>80</v>
      </c>
      <c r="B26" s="43" t="e">
        <f>'some changes - change much more'!B3</f>
        <v>#N/A</v>
      </c>
      <c r="C26" s="46">
        <f>E18</f>
        <v>474.38794661529982</v>
      </c>
    </row>
    <row r="27" spans="1:6">
      <c r="A27" s="41" t="s">
        <v>81</v>
      </c>
      <c r="B27" s="47">
        <f>B21</f>
        <v>259.30634469696969</v>
      </c>
      <c r="C27" s="47">
        <f>E23</f>
        <v>64.826586174242422</v>
      </c>
    </row>
    <row r="28" spans="1:6">
      <c r="A28" s="41" t="s">
        <v>128</v>
      </c>
      <c r="B28" s="47">
        <f>B36</f>
        <v>182.42959378681999</v>
      </c>
      <c r="C28" s="47">
        <f>E36</f>
        <v>571.55701713223129</v>
      </c>
    </row>
    <row r="29" spans="1:6">
      <c r="A29" s="57" t="s">
        <v>90</v>
      </c>
      <c r="B29" s="58"/>
      <c r="C29" s="59"/>
    </row>
    <row r="31" spans="1:6" ht="18.75">
      <c r="A31" s="75" t="s">
        <v>40</v>
      </c>
      <c r="B31" s="75"/>
      <c r="C31" s="75"/>
      <c r="D31" s="75" t="s">
        <v>37</v>
      </c>
      <c r="E31" s="75"/>
      <c r="F31" s="75"/>
    </row>
    <row r="32" spans="1:6">
      <c r="A32" s="76" t="s">
        <v>121</v>
      </c>
      <c r="B32" s="76"/>
      <c r="C32" s="76"/>
      <c r="D32" s="76" t="s">
        <v>122</v>
      </c>
      <c r="E32" s="76"/>
      <c r="F32" s="76"/>
    </row>
    <row r="33" spans="1:6" ht="26.25" customHeight="1">
      <c r="A33" s="42" t="s">
        <v>123</v>
      </c>
      <c r="B33" s="46">
        <f>IF(B5&gt;F3,G3,B5)</f>
        <v>100</v>
      </c>
      <c r="C33" s="43" t="s">
        <v>6</v>
      </c>
      <c r="D33" s="42" t="s">
        <v>123</v>
      </c>
      <c r="E33" s="43">
        <f>IF(D5&gt;F3,G3,D5)</f>
        <v>300</v>
      </c>
      <c r="F33" s="43" t="s">
        <v>6</v>
      </c>
    </row>
    <row r="34" spans="1:6">
      <c r="A34" s="42" t="s">
        <v>124</v>
      </c>
      <c r="B34" s="43">
        <f>IF(B5&gt;F3,B5-G3,0)</f>
        <v>700</v>
      </c>
      <c r="C34" s="43" t="s">
        <v>6</v>
      </c>
      <c r="D34" s="42" t="s">
        <v>124</v>
      </c>
      <c r="E34" s="43">
        <f>IF(D5&gt;F3,D5-G3,0)</f>
        <v>0</v>
      </c>
      <c r="F34" s="43" t="s">
        <v>6</v>
      </c>
    </row>
    <row r="35" spans="1:6">
      <c r="A35" s="42" t="s">
        <v>125</v>
      </c>
      <c r="B35" s="43">
        <v>0</v>
      </c>
      <c r="C35" s="43" t="s">
        <v>6</v>
      </c>
      <c r="D35" s="42" t="s">
        <v>125</v>
      </c>
      <c r="E35" s="78">
        <f>Data!E8</f>
        <v>6914</v>
      </c>
      <c r="F35" s="43" t="s">
        <v>6</v>
      </c>
    </row>
    <row r="36" spans="1:6">
      <c r="A36" s="43" t="s">
        <v>100</v>
      </c>
      <c r="B36" s="54">
        <f>B34/B11*Data!B45*B10*B9+B33/E11*Data!B45*E10*E9+B35/H11*Data!B45*H10*H9</f>
        <v>182.42959378681999</v>
      </c>
      <c r="C36" s="43" t="s">
        <v>101</v>
      </c>
      <c r="D36" s="43" t="s">
        <v>100</v>
      </c>
      <c r="E36" s="54">
        <f>E34/B11*Data!B45*B10*B9+E33/E11*Data!B45*E10*E9+E35/H11*Data!B45*H10*H9</f>
        <v>571.55701713223129</v>
      </c>
      <c r="F36" s="43" t="s">
        <v>101</v>
      </c>
    </row>
    <row r="37" spans="1:6">
      <c r="A37" s="42" t="s">
        <v>127</v>
      </c>
      <c r="B37" s="46">
        <f>B35+B34+B33</f>
        <v>800</v>
      </c>
      <c r="C37" s="43" t="s">
        <v>6</v>
      </c>
      <c r="D37" s="42" t="s">
        <v>127</v>
      </c>
      <c r="E37" s="78">
        <f>E35+E34+E33</f>
        <v>7214</v>
      </c>
      <c r="F37" s="43" t="s">
        <v>6</v>
      </c>
    </row>
  </sheetData>
  <mergeCells count="16">
    <mergeCell ref="A31:C31"/>
    <mergeCell ref="D31:F31"/>
    <mergeCell ref="A32:C32"/>
    <mergeCell ref="D32:F32"/>
    <mergeCell ref="A1:B1"/>
    <mergeCell ref="C1:D1"/>
    <mergeCell ref="G8:I8"/>
    <mergeCell ref="A8:C8"/>
    <mergeCell ref="D8:F8"/>
    <mergeCell ref="A29:C29"/>
    <mergeCell ref="A13:C13"/>
    <mergeCell ref="D13:F13"/>
    <mergeCell ref="A14:C14"/>
    <mergeCell ref="D14:F14"/>
    <mergeCell ref="A20:C20"/>
    <mergeCell ref="D20:F20"/>
  </mergeCells>
  <pageMargins left="0.7" right="0.7" top="0.75" bottom="0.75" header="0.3" footer="0.3"/>
  <pageSetup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3"/>
  <sheetViews>
    <sheetView topLeftCell="A10" workbookViewId="0">
      <selection activeCell="B16" sqref="B16"/>
    </sheetView>
  </sheetViews>
  <sheetFormatPr defaultRowHeight="15"/>
  <cols>
    <col min="1" max="1" width="28.140625" customWidth="1"/>
    <col min="2" max="2" width="19.5703125" customWidth="1"/>
    <col min="3" max="3" width="20.42578125" customWidth="1"/>
  </cols>
  <sheetData>
    <row r="1" spans="1:3" ht="18.75">
      <c r="A1" s="75" t="s">
        <v>37</v>
      </c>
      <c r="B1" s="75"/>
      <c r="C1" s="75"/>
    </row>
    <row r="2" spans="1:3">
      <c r="A2" s="76" t="s">
        <v>88</v>
      </c>
      <c r="B2" s="76"/>
      <c r="C2" s="76"/>
    </row>
    <row r="3" spans="1:3" ht="30">
      <c r="A3" s="42" t="s">
        <v>64</v>
      </c>
      <c r="B3" s="43">
        <v>167</v>
      </c>
      <c r="C3" s="43" t="s">
        <v>65</v>
      </c>
    </row>
    <row r="4" spans="1:3">
      <c r="A4" s="42" t="s">
        <v>60</v>
      </c>
      <c r="B4" s="43">
        <v>528</v>
      </c>
      <c r="C4" s="43" t="s">
        <v>61</v>
      </c>
    </row>
    <row r="5" spans="1:3">
      <c r="A5" s="42" t="s">
        <v>66</v>
      </c>
      <c r="B5" s="43">
        <v>811</v>
      </c>
      <c r="C5" s="43" t="s">
        <v>67</v>
      </c>
    </row>
    <row r="6" spans="1:3">
      <c r="A6" s="42" t="s">
        <v>87</v>
      </c>
      <c r="B6" s="43">
        <v>3.79E-3</v>
      </c>
      <c r="C6" s="43" t="s">
        <v>78</v>
      </c>
    </row>
    <row r="7" spans="1:3" ht="30">
      <c r="A7" s="42" t="s">
        <v>44</v>
      </c>
      <c r="B7" s="43">
        <v>52.1</v>
      </c>
      <c r="C7" s="43" t="s">
        <v>45</v>
      </c>
    </row>
    <row r="8" spans="1:3">
      <c r="A8" s="44" t="s">
        <v>10</v>
      </c>
      <c r="B8" s="45">
        <v>3213</v>
      </c>
      <c r="C8" s="45" t="s">
        <v>6</v>
      </c>
    </row>
    <row r="12" spans="1:3">
      <c r="A12" t="s">
        <v>110</v>
      </c>
      <c r="B12" s="53">
        <f>B4/B3</f>
        <v>3.1616766467065869</v>
      </c>
      <c r="C12" t="s">
        <v>109</v>
      </c>
    </row>
    <row r="15" spans="1:3">
      <c r="A15" t="s">
        <v>108</v>
      </c>
      <c r="B15" s="50">
        <v>0.5</v>
      </c>
    </row>
    <row r="17" spans="1:3">
      <c r="A17" t="s">
        <v>107</v>
      </c>
      <c r="B17">
        <v>60</v>
      </c>
      <c r="C17">
        <v>60</v>
      </c>
    </row>
    <row r="18" spans="1:3">
      <c r="A18" t="s">
        <v>106</v>
      </c>
      <c r="B18">
        <v>50</v>
      </c>
      <c r="C18">
        <v>70</v>
      </c>
    </row>
    <row r="20" spans="1:3">
      <c r="B20" t="s">
        <v>37</v>
      </c>
      <c r="C20" t="s">
        <v>105</v>
      </c>
    </row>
    <row r="21" spans="1:3">
      <c r="A21" t="s">
        <v>104</v>
      </c>
      <c r="B21">
        <v>50</v>
      </c>
      <c r="C21">
        <v>70</v>
      </c>
    </row>
    <row r="22" spans="1:3">
      <c r="A22" t="s">
        <v>103</v>
      </c>
      <c r="B22">
        <f>$B$15*B17</f>
        <v>30</v>
      </c>
      <c r="C22">
        <f>$B$15*C17</f>
        <v>30</v>
      </c>
    </row>
    <row r="23" spans="1:3">
      <c r="A23" t="s">
        <v>102</v>
      </c>
      <c r="B23">
        <f>(1-$B$15)*B18</f>
        <v>25</v>
      </c>
      <c r="C23">
        <f>(1-$B$15)*C18</f>
        <v>35</v>
      </c>
    </row>
  </sheetData>
  <mergeCells count="2">
    <mergeCell ref="A1:C1"/>
    <mergeCell ref="A2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Disposal Distance</vt:lpstr>
      <vt:lpstr>some changes - change much more</vt:lpstr>
      <vt:lpstr>scratch sheet</vt:lpstr>
    </vt:vector>
  </TitlesOfParts>
  <Company>Humboldt State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 IT Systems &amp; Services</dc:creator>
  <cp:lastModifiedBy>Desktop IT Systems &amp; Services</cp:lastModifiedBy>
  <dcterms:created xsi:type="dcterms:W3CDTF">2008-12-03T19:16:14Z</dcterms:created>
  <dcterms:modified xsi:type="dcterms:W3CDTF">2008-12-10T18:33:03Z</dcterms:modified>
</cp:coreProperties>
</file>