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0" windowWidth="15380" windowHeight="7580" activeTab="1"/>
  </bookViews>
  <sheets>
    <sheet name="Menu" sheetId="1" r:id="rId1"/>
    <sheet name="Financial" sheetId="2" r:id="rId2"/>
    <sheet name="Site" sheetId="3" r:id="rId3"/>
    <sheet name="System" sheetId="4" r:id="rId4"/>
    <sheet name="Cash Flow Graph" sheetId="5" r:id="rId5"/>
    <sheet name="Power Curve Graph" sheetId="6" r:id="rId6"/>
    <sheet name="Cash Flow" sheetId="7" r:id="rId7"/>
    <sheet name="Assumptions" sheetId="8" r:id="rId8"/>
  </sheets>
  <definedNames/>
  <calcPr calcMode="manual" fullCalcOnLoad="1" calcCompleted="0" calcOnSave="0"/>
</workbook>
</file>

<file path=xl/comments4.xml><?xml version="1.0" encoding="utf-8"?>
<comments xmlns="http://schemas.openxmlformats.org/spreadsheetml/2006/main">
  <authors>
    <author>Brandon Owens, brandon_owens@nrel.gov</author>
  </authors>
  <commentList>
    <comment ref="B14" authorId="0">
      <text>
        <r>
          <t/>
        </r>
      </text>
    </comment>
  </commentList>
</comments>
</file>

<file path=xl/sharedStrings.xml><?xml version="1.0" encoding="utf-8"?>
<sst xmlns="http://schemas.openxmlformats.org/spreadsheetml/2006/main" count="152" uniqueCount="122">
  <si>
    <t>Expenses</t>
  </si>
  <si>
    <t>30-Year Nominal Cash-Flow (All units are expressed as dollars unless otherwise noted)</t>
  </si>
  <si>
    <t>Downpayment Percentage (%)</t>
  </si>
  <si>
    <t>Initial Capital Expenditure (Downpayment)</t>
  </si>
  <si>
    <t>Amount Financed</t>
  </si>
  <si>
    <t>Average Cost of Electricity ($/kWh)</t>
  </si>
  <si>
    <t>Downpayment (%)</t>
  </si>
  <si>
    <t>Marginal Effective Tax Rate (%/year)</t>
  </si>
  <si>
    <t>Variable Costs ($/kWh)</t>
  </si>
  <si>
    <t>Nominal Variable Cost Escalation Rate (%/year)</t>
  </si>
  <si>
    <t>Fixed Costs ($/kW)</t>
  </si>
  <si>
    <t>Nominal Fixed Cost Escalation Rate (%/year)</t>
  </si>
  <si>
    <t>Power Curve (Wind Turbine Power (kW) @ x m/s)</t>
  </si>
  <si>
    <t>Rated Power (kW)</t>
  </si>
  <si>
    <t>Variable Cost ($/kWh)</t>
  </si>
  <si>
    <t>Fixed Cost ($/kWh)</t>
  </si>
  <si>
    <t>Step 2: Site Characteristics</t>
  </si>
  <si>
    <t>Step 3: System Properties</t>
  </si>
  <si>
    <r>
      <t xml:space="preserve">Step 1: </t>
    </r>
    <r>
      <rPr>
        <sz val="12"/>
        <rFont val="Arial"/>
        <family val="2"/>
      </rPr>
      <t>Financial Assumptions</t>
    </r>
  </si>
  <si>
    <r>
      <t xml:space="preserve">Step 2: </t>
    </r>
    <r>
      <rPr>
        <sz val="12"/>
        <rFont val="Arial"/>
        <family val="2"/>
      </rPr>
      <t>Site Characteristics</t>
    </r>
  </si>
  <si>
    <r>
      <t>Step 3:</t>
    </r>
    <r>
      <rPr>
        <sz val="12"/>
        <rFont val="Arial"/>
        <family val="2"/>
      </rPr>
      <t xml:space="preserve"> System Properties</t>
    </r>
  </si>
  <si>
    <t>Mortgage</t>
  </si>
  <si>
    <t>Loan</t>
  </si>
  <si>
    <t>Must be greater than 0 and less than or equal to 100%.</t>
  </si>
  <si>
    <t>Must be greater than or equal to 0 and less than or equal to 30.</t>
  </si>
  <si>
    <t>Step 1: Financial Assummptions</t>
  </si>
  <si>
    <t>AOC 15/50 Wind Turbine</t>
  </si>
  <si>
    <t xml:space="preserve">  </t>
  </si>
  <si>
    <t>Net Cash-Flow</t>
  </si>
  <si>
    <t>Result</t>
  </si>
  <si>
    <t>Summary Assumptions</t>
  </si>
  <si>
    <t>Contribution to Average Wind Turbine Power (kW)</t>
  </si>
  <si>
    <t>Wind Speed (m/s)</t>
  </si>
  <si>
    <t>Wind Turbine Power (kW)</t>
  </si>
  <si>
    <t>Hub Height Average Wind Speed (m/s)</t>
  </si>
  <si>
    <t>Air Density Factor</t>
  </si>
  <si>
    <t>= Calculated Values</t>
  </si>
  <si>
    <t>Totals</t>
  </si>
  <si>
    <t>Total Installed Cost</t>
  </si>
  <si>
    <t>Payback Period (Years)</t>
  </si>
  <si>
    <t>Payback Period (SPB)</t>
  </si>
  <si>
    <t>Rate of Return (IRR)</t>
  </si>
  <si>
    <t>Net Present Value (NPV)</t>
  </si>
  <si>
    <t>Annual return on initial investment.</t>
  </si>
  <si>
    <t>Availability is an allowance for wind turbine downtime.  Availability of 95 - 98 % is typical.</t>
  </si>
  <si>
    <t xml:space="preserve">Performance Derating is a derating of the wind turbine power curve for wind turbulence, product variability, and other factors that affect performance.  </t>
  </si>
  <si>
    <t>Average site wind speed, expressed in m/s.</t>
  </si>
  <si>
    <t xml:space="preserve"> If Weibull k is not known, use k = 2 for inland sites, use 3 for coastal sites, and use 4 for island sites and trade wind regimes.  </t>
  </si>
  <si>
    <t>User-Defined Site</t>
  </si>
  <si>
    <t>Great Plains Site</t>
  </si>
  <si>
    <t>User-Defined Financing</t>
  </si>
  <si>
    <t>Must be greater than or equal to 0 and less than 20%. Current mortage rates are around 7%.</t>
  </si>
  <si>
    <t>Must be greater than or equal to 0 and less than the highest marginal tax rate.</t>
  </si>
  <si>
    <t>Expected rate of electricity price increase, includes inflation.</t>
  </si>
  <si>
    <t>BW Excel - S/60</t>
  </si>
  <si>
    <t>WTIC Jacobs 29-20</t>
  </si>
  <si>
    <t>Whisper H175 (WPT 3000)</t>
  </si>
  <si>
    <t>Before-Tax Debt Interest Payment</t>
  </si>
  <si>
    <t>Total Debt Payment</t>
  </si>
  <si>
    <t>Debt Principal Payment (C)</t>
  </si>
  <si>
    <t>After-Tax Debt Interest Payment (D)</t>
  </si>
  <si>
    <t>Variable Costs (E)</t>
  </si>
  <si>
    <t>Power Output (kWh/year) (A)</t>
  </si>
  <si>
    <t>Avoided Cost of Electricity ($/kWh) (B)</t>
  </si>
  <si>
    <t>Total Revenue (A*B)</t>
  </si>
  <si>
    <t>Fixed Costs (F)</t>
  </si>
  <si>
    <t>Total Expenses (C+D+E+F)</t>
  </si>
  <si>
    <t>Please make a selection using the radio buttons below:</t>
  </si>
  <si>
    <t>Class 6 Site</t>
  </si>
  <si>
    <t>Class 4 Site</t>
  </si>
  <si>
    <t>Class 6 High Elevation</t>
  </si>
  <si>
    <t>Class 4 High Elevation</t>
  </si>
  <si>
    <t>Average Annual Power Output (kWh)</t>
  </si>
  <si>
    <t>Cumulative Net Cash-Flow</t>
  </si>
  <si>
    <t>Total Installed Cost ($)</t>
  </si>
  <si>
    <t>Wind Speed Probability (%)</t>
  </si>
  <si>
    <t>User Defined System</t>
  </si>
  <si>
    <t>Cash</t>
  </si>
  <si>
    <t>Interest Rate (%/year)</t>
  </si>
  <si>
    <t>Site Characteristics</t>
  </si>
  <si>
    <t>Debt Term (years)</t>
  </si>
  <si>
    <t>Marginal Effective Income Tax Rate (%/year)</t>
  </si>
  <si>
    <t>Nominal Electricity Escalation Rate (%/year)</t>
  </si>
  <si>
    <t>Average Wind Speed (m/s)</t>
  </si>
  <si>
    <t>Site Elevation (m)</t>
  </si>
  <si>
    <t>Weibull k</t>
  </si>
  <si>
    <t>Wind Shear Exponent</t>
  </si>
  <si>
    <t>Anemometer Ht (m)</t>
  </si>
  <si>
    <t>Financial Assumptions</t>
  </si>
  <si>
    <t>System Characteristics</t>
  </si>
  <si>
    <t>Total Installed Cost ($/kW)</t>
  </si>
  <si>
    <t>Rotor Hub Height (m)</t>
  </si>
  <si>
    <t>Availability (%)</t>
  </si>
  <si>
    <t>Performance Margin</t>
  </si>
  <si>
    <t>Performance Derating</t>
  </si>
  <si>
    <t>System Costs</t>
  </si>
  <si>
    <t>Physical Characteristics</t>
  </si>
  <si>
    <t>Avoided Energy Costs</t>
  </si>
  <si>
    <t>Site Properties</t>
  </si>
  <si>
    <t>Revenue</t>
  </si>
  <si>
    <t>Power Output (kWh/year)</t>
  </si>
  <si>
    <t>= User Selected Values</t>
  </si>
  <si>
    <t>1 m/s</t>
  </si>
  <si>
    <t>If expressed in miles/hour, convert to meters/second by multiplying by 2.24.</t>
  </si>
  <si>
    <t>Wind Energy Payback Period Workbook (v1.0)</t>
  </si>
  <si>
    <t xml:space="preserve">My one concern about this illustration is that it still looks like the turbine is attached to the cabin's roof and many of our reports and publications say you should not mount a small turbine on the roof of a building. </t>
  </si>
  <si>
    <t>Average price of electricity from current provider.</t>
  </si>
  <si>
    <t xml:space="preserve">Anemometer height is in meters and is height at which the average wind speed was measured.  If unknown, use 10 meters. </t>
  </si>
  <si>
    <t xml:space="preserve">Wind shear exponent may be assumed to be "1/7" or 0.143 for smooth terrain.  For flat terrain with some surface roughness (the Great Plains) use 0.20.  For very smooth terrain or open water use 0.10. </t>
  </si>
  <si>
    <t>Average Wind Speed (meters/second)</t>
  </si>
  <si>
    <t>Anemometer Height (meters)</t>
  </si>
  <si>
    <t>Site Elevation (meters)</t>
  </si>
  <si>
    <t>Performance margin is a derating that accounts for unusable energy (e.g. when batteries are full) and adds a margin of safety in satisfying load requirements.  Use 0.0 for grid-connected applications.  Use 0.05 (5%) for remote homes and village power sites with back-up power.  Use 0.15 (15%) - 0.25 (25%) for telecommunication applications with back-up power.  Use 0.2 (20%) - 0.4 (40%) for high-priority loads at sites without back-up power (should have solar component).</t>
  </si>
  <si>
    <t>Number of years before initial investment is fully recovered.</t>
  </si>
  <si>
    <t>Present-day investment value if discounted at the after-tax interest rate.</t>
  </si>
  <si>
    <t>Bad</t>
  </si>
  <si>
    <t>Implied Capacity Factor</t>
  </si>
  <si>
    <t>Total installed cost including applicable sales tax.</t>
  </si>
  <si>
    <t>Initial fixed production costs.</t>
  </si>
  <si>
    <t>Fixed production cost escalation rate, includes inflation. 0-5% is typical.</t>
  </si>
  <si>
    <t>Variable production cost escalation rate, includes inflation. 0-5% if typical.</t>
  </si>
  <si>
    <t xml:space="preserve">Initial variable production costs. Typically $0.015/kWh for large grid-connected wind turbines, and lower for small wind turbines with fewer moving parts.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</si>
</sst>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
    <numFmt numFmtId="167" formatCode="0.0"/>
    <numFmt numFmtId="168" formatCode="0.0%"/>
    <numFmt numFmtId="169" formatCode="0.000"/>
  </numFmts>
  <fonts count="29">
    <font>
      <sz val="10"/>
      <name val="Arial"/>
      <family val="0"/>
    </font>
    <font>
      <sz val="11"/>
      <name val="Arial"/>
      <family val="2"/>
    </font>
    <font>
      <b/>
      <sz val="10"/>
      <name val="Arial"/>
      <family val="2"/>
    </font>
    <font>
      <b/>
      <sz val="12"/>
      <name val="Arial"/>
      <family val="2"/>
    </font>
    <font>
      <sz val="12"/>
      <name val="Arial"/>
      <family val="2"/>
    </font>
    <font>
      <i/>
      <sz val="10"/>
      <name val="Arial"/>
      <family val="2"/>
    </font>
    <font>
      <u val="single"/>
      <sz val="10"/>
      <name val="Arial"/>
      <family val="2"/>
    </font>
    <font>
      <i/>
      <sz val="12"/>
      <name val="Times New Roman"/>
      <family val="1"/>
    </font>
    <font>
      <b/>
      <sz val="16"/>
      <name val="Arial"/>
      <family val="2"/>
    </font>
    <font>
      <sz val="9"/>
      <name val="Arial"/>
      <family val="0"/>
    </font>
    <font>
      <sz val="8"/>
      <name val="Tahoma"/>
      <family val="2"/>
    </font>
    <font>
      <b/>
      <sz val="14"/>
      <name val="Arial"/>
      <family val="2"/>
    </font>
    <font>
      <sz val="8"/>
      <name val="Arial"/>
      <family val="2"/>
    </font>
    <font>
      <b/>
      <sz val="14"/>
      <color indexed="9"/>
      <name val="Arial"/>
      <family val="2"/>
    </font>
    <font>
      <sz val="10"/>
      <color indexed="9"/>
      <name val="Arial"/>
      <family val="2"/>
    </font>
    <font>
      <sz val="10"/>
      <color indexed="8"/>
      <name val="Arial"/>
      <family val="2"/>
    </font>
    <font>
      <b/>
      <sz val="12"/>
      <color indexed="8"/>
      <name val="Arial"/>
      <family val="2"/>
    </font>
    <font>
      <b/>
      <sz val="12"/>
      <color indexed="9"/>
      <name val="Arial"/>
      <family val="2"/>
    </font>
    <font>
      <sz val="10"/>
      <color indexed="43"/>
      <name val="Arial"/>
      <family val="2"/>
    </font>
    <font>
      <sz val="10"/>
      <color indexed="22"/>
      <name val="Arial"/>
      <family val="2"/>
    </font>
    <font>
      <b/>
      <u val="single"/>
      <sz val="10"/>
      <name val="Arial"/>
      <family val="2"/>
    </font>
    <font>
      <sz val="14"/>
      <name val="Arial"/>
      <family val="2"/>
    </font>
    <font>
      <b/>
      <sz val="8"/>
      <name val="Tahoma"/>
      <family val="0"/>
    </font>
    <font>
      <sz val="11.75"/>
      <name val="Arial"/>
      <family val="0"/>
    </font>
    <font>
      <b/>
      <sz val="10"/>
      <color indexed="10"/>
      <name val="Arial"/>
      <family val="2"/>
    </font>
    <font>
      <b/>
      <sz val="18"/>
      <name val="Arial"/>
      <family val="2"/>
    </font>
    <font>
      <sz val="15.5"/>
      <name val="Arial"/>
      <family val="2"/>
    </font>
    <font>
      <sz val="17.5"/>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0" fillId="0" borderId="0" xfId="0" applyFont="1" applyBorder="1" applyAlignment="1">
      <alignment horizontal="left"/>
    </xf>
    <xf numFmtId="164" fontId="0" fillId="0" borderId="0" xfId="0" applyNumberFormat="1" applyAlignment="1">
      <alignment/>
    </xf>
    <xf numFmtId="3" fontId="0" fillId="0" borderId="0" xfId="0" applyNumberFormat="1" applyAlignment="1">
      <alignment/>
    </xf>
    <xf numFmtId="166" fontId="0" fillId="0" borderId="0" xfId="0" applyNumberFormat="1" applyAlignment="1">
      <alignment/>
    </xf>
    <xf numFmtId="8" fontId="0" fillId="0" borderId="0" xfId="0" applyNumberFormat="1" applyAlignment="1">
      <alignment/>
    </xf>
    <xf numFmtId="9" fontId="0" fillId="0" borderId="0" xfId="0" applyNumberFormat="1" applyAlignment="1">
      <alignment/>
    </xf>
    <xf numFmtId="10" fontId="0" fillId="0" borderId="0" xfId="0" applyNumberFormat="1" applyAlignment="1">
      <alignment/>
    </xf>
    <xf numFmtId="0" fontId="6" fillId="0" borderId="0" xfId="0" applyFont="1" applyAlignment="1">
      <alignment/>
    </xf>
    <xf numFmtId="0" fontId="7" fillId="0" borderId="0" xfId="0" applyFont="1" applyAlignment="1">
      <alignment/>
    </xf>
    <xf numFmtId="0" fontId="0" fillId="0" borderId="1" xfId="0" applyBorder="1" applyAlignment="1">
      <alignment/>
    </xf>
    <xf numFmtId="3" fontId="0" fillId="0" borderId="1" xfId="0" applyNumberFormat="1" applyBorder="1" applyAlignment="1">
      <alignment/>
    </xf>
    <xf numFmtId="165" fontId="0" fillId="0" borderId="1" xfId="0" applyNumberFormat="1" applyBorder="1" applyAlignment="1">
      <alignment/>
    </xf>
    <xf numFmtId="166" fontId="0" fillId="0" borderId="1" xfId="0" applyNumberFormat="1" applyBorder="1" applyAlignment="1">
      <alignment/>
    </xf>
    <xf numFmtId="0" fontId="0" fillId="2" borderId="0" xfId="0" applyFill="1" applyBorder="1" applyAlignment="1">
      <alignment/>
    </xf>
    <xf numFmtId="0" fontId="0" fillId="3" borderId="0"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11" fillId="3" borderId="0" xfId="0" applyFont="1" applyFill="1" applyAlignment="1">
      <alignment/>
    </xf>
    <xf numFmtId="0" fontId="0" fillId="3" borderId="0" xfId="0" applyFill="1" applyAlignment="1">
      <alignment/>
    </xf>
    <xf numFmtId="0" fontId="0" fillId="3" borderId="1" xfId="0" applyFill="1" applyBorder="1" applyAlignment="1">
      <alignment/>
    </xf>
    <xf numFmtId="9" fontId="0" fillId="3" borderId="1" xfId="0" applyNumberFormat="1" applyFill="1" applyBorder="1" applyAlignment="1">
      <alignment/>
    </xf>
    <xf numFmtId="0" fontId="13" fillId="3" borderId="0" xfId="0" applyFont="1" applyFill="1" applyAlignment="1">
      <alignment horizontal="left"/>
    </xf>
    <xf numFmtId="0" fontId="5" fillId="3" borderId="0" xfId="0" applyFont="1" applyFill="1" applyAlignment="1">
      <alignment/>
    </xf>
    <xf numFmtId="0" fontId="12" fillId="3" borderId="0" xfId="0" applyFont="1" applyFill="1" applyBorder="1" applyAlignment="1">
      <alignment/>
    </xf>
    <xf numFmtId="9" fontId="0" fillId="3" borderId="10" xfId="0" applyNumberFormat="1" applyFill="1" applyBorder="1" applyAlignment="1">
      <alignment/>
    </xf>
    <xf numFmtId="9" fontId="0" fillId="3" borderId="0" xfId="0" applyNumberFormat="1" applyFill="1" applyBorder="1" applyAlignment="1">
      <alignment/>
    </xf>
    <xf numFmtId="0" fontId="0" fillId="3" borderId="0" xfId="0" applyFont="1" applyFill="1" applyBorder="1" applyAlignment="1">
      <alignment horizontal="left"/>
    </xf>
    <xf numFmtId="0" fontId="5" fillId="3" borderId="0" xfId="0" applyFont="1" applyFill="1" applyBorder="1" applyAlignment="1">
      <alignment horizontal="left"/>
    </xf>
    <xf numFmtId="0" fontId="0" fillId="3" borderId="0" xfId="0" applyFill="1" applyAlignment="1">
      <alignment horizontal="right"/>
    </xf>
    <xf numFmtId="0" fontId="0" fillId="2" borderId="1" xfId="0" applyFill="1" applyBorder="1" applyAlignment="1">
      <alignment/>
    </xf>
    <xf numFmtId="0" fontId="0" fillId="2" borderId="1" xfId="0" applyFont="1" applyFill="1" applyBorder="1" applyAlignment="1">
      <alignment horizontal="left"/>
    </xf>
    <xf numFmtId="167" fontId="1" fillId="0" borderId="1" xfId="0" applyNumberFormat="1" applyFont="1" applyFill="1" applyBorder="1" applyAlignment="1">
      <alignment horizontal="right"/>
    </xf>
    <xf numFmtId="2" fontId="0"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3" fontId="1" fillId="0" borderId="1" xfId="0" applyNumberFormat="1" applyFont="1" applyFill="1" applyBorder="1" applyAlignment="1">
      <alignment horizontal="right"/>
    </xf>
    <xf numFmtId="10" fontId="0" fillId="3" borderId="1" xfId="0" applyNumberFormat="1" applyFill="1" applyBorder="1" applyAlignment="1">
      <alignment/>
    </xf>
    <xf numFmtId="0" fontId="14" fillId="3" borderId="2" xfId="0" applyFont="1" applyFill="1" applyBorder="1" applyAlignment="1">
      <alignment/>
    </xf>
    <xf numFmtId="0" fontId="14" fillId="3" borderId="3" xfId="0" applyFont="1" applyFill="1" applyBorder="1" applyAlignment="1">
      <alignment/>
    </xf>
    <xf numFmtId="0" fontId="14" fillId="3" borderId="4" xfId="0" applyFont="1" applyFill="1" applyBorder="1" applyAlignment="1">
      <alignment/>
    </xf>
    <xf numFmtId="0" fontId="14" fillId="3" borderId="5" xfId="0" applyFont="1" applyFill="1" applyBorder="1" applyAlignment="1">
      <alignment/>
    </xf>
    <xf numFmtId="0" fontId="14" fillId="3" borderId="0" xfId="0" applyFont="1" applyFill="1" applyBorder="1" applyAlignment="1">
      <alignment/>
    </xf>
    <xf numFmtId="0" fontId="14" fillId="3" borderId="6" xfId="0" applyFont="1" applyFill="1" applyBorder="1" applyAlignment="1">
      <alignment/>
    </xf>
    <xf numFmtId="0" fontId="14" fillId="3" borderId="7" xfId="0" applyFont="1" applyFill="1" applyBorder="1" applyAlignment="1">
      <alignment/>
    </xf>
    <xf numFmtId="0" fontId="16" fillId="3" borderId="0" xfId="0" applyFont="1" applyFill="1" applyBorder="1" applyAlignment="1">
      <alignment/>
    </xf>
    <xf numFmtId="0" fontId="17" fillId="3" borderId="0" xfId="0" applyFont="1" applyFill="1" applyBorder="1" applyAlignment="1">
      <alignment/>
    </xf>
    <xf numFmtId="9" fontId="16" fillId="3" borderId="0" xfId="0" applyNumberFormat="1" applyFont="1" applyFill="1" applyBorder="1" applyAlignment="1">
      <alignment/>
    </xf>
    <xf numFmtId="0" fontId="15" fillId="3" borderId="6" xfId="0" applyFont="1" applyFill="1" applyBorder="1" applyAlignment="1">
      <alignment/>
    </xf>
    <xf numFmtId="0" fontId="15" fillId="3" borderId="8" xfId="0" applyFont="1" applyFill="1" applyBorder="1" applyAlignment="1">
      <alignment/>
    </xf>
    <xf numFmtId="0" fontId="15" fillId="3" borderId="9" xfId="0" applyFont="1" applyFill="1" applyBorder="1" applyAlignment="1">
      <alignment/>
    </xf>
    <xf numFmtId="1" fontId="0" fillId="2" borderId="0" xfId="0" applyNumberFormat="1" applyFill="1" applyBorder="1" applyAlignment="1">
      <alignment/>
    </xf>
    <xf numFmtId="1" fontId="0" fillId="2" borderId="0" xfId="0" applyNumberFormat="1" applyFill="1" applyBorder="1" applyAlignment="1" quotePrefix="1">
      <alignment/>
    </xf>
    <xf numFmtId="0" fontId="18" fillId="2" borderId="0" xfId="0" applyFont="1" applyFill="1" applyBorder="1" applyAlignment="1">
      <alignment/>
    </xf>
    <xf numFmtId="0" fontId="0" fillId="0" borderId="1" xfId="0" applyBorder="1" applyAlignment="1">
      <alignment horizontal="center" wrapText="1"/>
    </xf>
    <xf numFmtId="49" fontId="0" fillId="0" borderId="1" xfId="0" applyNumberFormat="1" applyFont="1" applyBorder="1" applyAlignment="1">
      <alignment horizontal="center" vertical="center" wrapText="1"/>
    </xf>
    <xf numFmtId="0" fontId="0" fillId="0" borderId="1" xfId="0" applyBorder="1" applyAlignment="1">
      <alignment horizontal="left"/>
    </xf>
    <xf numFmtId="0" fontId="0" fillId="0" borderId="1" xfId="0" applyFont="1" applyBorder="1" applyAlignment="1">
      <alignment horizontal="left"/>
    </xf>
    <xf numFmtId="0" fontId="0" fillId="0" borderId="0" xfId="0" applyBorder="1" applyAlignment="1">
      <alignment/>
    </xf>
    <xf numFmtId="0" fontId="0" fillId="0" borderId="0" xfId="0" applyAlignment="1" quotePrefix="1">
      <alignment/>
    </xf>
    <xf numFmtId="0" fontId="0" fillId="4" borderId="1" xfId="0" applyFill="1" applyBorder="1" applyAlignment="1">
      <alignment/>
    </xf>
    <xf numFmtId="2" fontId="0" fillId="0" borderId="1" xfId="0" applyNumberFormat="1" applyBorder="1" applyAlignment="1">
      <alignment/>
    </xf>
    <xf numFmtId="2" fontId="0" fillId="4" borderId="1" xfId="0" applyNumberFormat="1" applyFill="1" applyBorder="1" applyAlignment="1">
      <alignment/>
    </xf>
    <xf numFmtId="10" fontId="0" fillId="0" borderId="1" xfId="0" applyNumberFormat="1" applyBorder="1" applyAlignment="1">
      <alignment/>
    </xf>
    <xf numFmtId="2" fontId="0" fillId="0" borderId="0" xfId="0" applyNumberFormat="1" applyAlignment="1">
      <alignment/>
    </xf>
    <xf numFmtId="1" fontId="0" fillId="4" borderId="1" xfId="0" applyNumberFormat="1" applyFill="1" applyBorder="1" applyAlignment="1">
      <alignment/>
    </xf>
    <xf numFmtId="0" fontId="20" fillId="0" borderId="0" xfId="0" applyFont="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19" fillId="5" borderId="11" xfId="0" applyFont="1" applyFill="1" applyBorder="1" applyAlignment="1">
      <alignment/>
    </xf>
    <xf numFmtId="0" fontId="19" fillId="5" borderId="12" xfId="0" applyFont="1" applyFill="1" applyBorder="1" applyAlignment="1">
      <alignment/>
    </xf>
    <xf numFmtId="0" fontId="19" fillId="5" borderId="13" xfId="0" applyFont="1" applyFill="1" applyBorder="1" applyAlignment="1">
      <alignment/>
    </xf>
    <xf numFmtId="0" fontId="15" fillId="0" borderId="0" xfId="0" applyFont="1" applyAlignment="1">
      <alignment/>
    </xf>
    <xf numFmtId="0" fontId="7" fillId="0" borderId="0" xfId="0" applyFont="1" applyAlignment="1" quotePrefix="1">
      <alignment horizontal="left"/>
    </xf>
    <xf numFmtId="1" fontId="16" fillId="3" borderId="0" xfId="0" applyNumberFormat="1" applyFont="1" applyFill="1" applyBorder="1" applyAlignment="1">
      <alignment horizontal="center"/>
    </xf>
    <xf numFmtId="0" fontId="16" fillId="3" borderId="0" xfId="0" applyFont="1" applyFill="1" applyBorder="1" applyAlignment="1">
      <alignment horizontal="left"/>
    </xf>
    <xf numFmtId="0" fontId="0" fillId="0" borderId="0" xfId="0" applyAlignment="1" quotePrefix="1">
      <alignment horizontal="left"/>
    </xf>
    <xf numFmtId="6" fontId="0" fillId="0" borderId="0" xfId="0" applyNumberFormat="1" applyAlignment="1">
      <alignment/>
    </xf>
    <xf numFmtId="168" fontId="0" fillId="3" borderId="1" xfId="0" applyNumberFormat="1" applyFill="1" applyBorder="1" applyAlignment="1">
      <alignment/>
    </xf>
    <xf numFmtId="0" fontId="5" fillId="0" borderId="0" xfId="0" applyFont="1" applyAlignment="1" quotePrefix="1">
      <alignment horizontal="left"/>
    </xf>
    <xf numFmtId="0" fontId="5" fillId="0" borderId="0" xfId="0" applyFont="1" applyAlignment="1">
      <alignment/>
    </xf>
    <xf numFmtId="9" fontId="0" fillId="4" borderId="1" xfId="0" applyNumberFormat="1" applyFill="1" applyBorder="1" applyAlignment="1">
      <alignment/>
    </xf>
    <xf numFmtId="0" fontId="14" fillId="2" borderId="0" xfId="0" applyFont="1" applyFill="1" applyBorder="1" applyAlignment="1">
      <alignment/>
    </xf>
    <xf numFmtId="0" fontId="15" fillId="2" borderId="0" xfId="0" applyFont="1" applyFill="1" applyBorder="1" applyAlignment="1">
      <alignment/>
    </xf>
    <xf numFmtId="0" fontId="3" fillId="2" borderId="11" xfId="0" applyFont="1" applyFill="1" applyBorder="1" applyAlignment="1">
      <alignment/>
    </xf>
    <xf numFmtId="0" fontId="0" fillId="2" borderId="12" xfId="0" applyFill="1" applyBorder="1" applyAlignment="1">
      <alignment/>
    </xf>
    <xf numFmtId="0" fontId="8" fillId="3" borderId="3" xfId="0" applyFont="1" applyFill="1" applyBorder="1" applyAlignment="1" quotePrefix="1">
      <alignment horizontal="left"/>
    </xf>
    <xf numFmtId="0" fontId="12" fillId="3" borderId="0" xfId="0" applyFont="1" applyFill="1" applyBorder="1" applyAlignment="1" quotePrefix="1">
      <alignment horizontal="left"/>
    </xf>
    <xf numFmtId="0" fontId="0" fillId="2" borderId="1" xfId="0" applyFont="1" applyFill="1" applyBorder="1" applyAlignment="1">
      <alignment horizontal="center" vertical="top" wrapText="1"/>
    </xf>
    <xf numFmtId="0" fontId="0" fillId="2" borderId="1" xfId="0" applyFont="1" applyFill="1" applyBorder="1" applyAlignment="1" quotePrefix="1">
      <alignment horizontal="center" vertical="top" wrapText="1"/>
    </xf>
    <xf numFmtId="166" fontId="0" fillId="0" borderId="1" xfId="0" applyNumberFormat="1" applyFont="1" applyFill="1" applyBorder="1" applyAlignment="1">
      <alignment/>
    </xf>
    <xf numFmtId="166" fontId="0" fillId="0" borderId="1" xfId="0" applyNumberFormat="1" applyFont="1" applyFill="1" applyBorder="1" applyAlignment="1">
      <alignment horizontal="right"/>
    </xf>
    <xf numFmtId="0" fontId="0" fillId="3" borderId="1" xfId="0" applyFont="1" applyFill="1" applyBorder="1" applyAlignment="1">
      <alignment/>
    </xf>
    <xf numFmtId="165" fontId="0" fillId="0" borderId="1" xfId="0" applyNumberFormat="1" applyFont="1" applyFill="1" applyBorder="1" applyAlignment="1">
      <alignment horizontal="right"/>
    </xf>
    <xf numFmtId="10" fontId="0" fillId="0" borderId="1" xfId="0" applyNumberFormat="1" applyFont="1" applyFill="1" applyBorder="1" applyAlignment="1">
      <alignment horizontal="right"/>
    </xf>
    <xf numFmtId="0" fontId="0" fillId="3" borderId="0" xfId="0" applyFont="1" applyFill="1" applyAlignment="1">
      <alignment/>
    </xf>
    <xf numFmtId="0" fontId="0" fillId="0" borderId="0" xfId="0" applyFont="1" applyFill="1" applyAlignment="1">
      <alignment horizontal="right"/>
    </xf>
    <xf numFmtId="0" fontId="0" fillId="0" borderId="1" xfId="0" applyFont="1" applyFill="1" applyBorder="1" applyAlignment="1">
      <alignment horizontal="right"/>
    </xf>
    <xf numFmtId="1" fontId="0" fillId="0" borderId="1" xfId="0" applyNumberFormat="1" applyFont="1" applyFill="1" applyBorder="1" applyAlignment="1">
      <alignment horizontal="right"/>
    </xf>
    <xf numFmtId="9" fontId="0" fillId="0" borderId="1" xfId="0" applyNumberFormat="1" applyFont="1" applyFill="1" applyBorder="1" applyAlignment="1">
      <alignment horizontal="right"/>
    </xf>
    <xf numFmtId="168" fontId="0" fillId="0" borderId="1" xfId="0" applyNumberFormat="1" applyFont="1" applyFill="1" applyBorder="1" applyAlignment="1">
      <alignment horizontal="right"/>
    </xf>
    <xf numFmtId="2" fontId="0" fillId="3" borderId="1" xfId="0" applyNumberFormat="1" applyFont="1" applyFill="1" applyBorder="1" applyAlignment="1">
      <alignment horizontal="right"/>
    </xf>
    <xf numFmtId="0" fontId="2" fillId="0" borderId="1" xfId="0" applyFont="1" applyBorder="1" applyAlignment="1" quotePrefix="1">
      <alignment horizontal="left"/>
    </xf>
    <xf numFmtId="1" fontId="0" fillId="0" borderId="0" xfId="0" applyNumberFormat="1" applyFill="1" applyBorder="1" applyAlignment="1">
      <alignment/>
    </xf>
    <xf numFmtId="0" fontId="0" fillId="2" borderId="1" xfId="0" applyFill="1" applyBorder="1" applyAlignment="1" quotePrefix="1">
      <alignment horizontal="left"/>
    </xf>
    <xf numFmtId="0" fontId="0" fillId="2" borderId="1" xfId="0" applyFill="1" applyBorder="1" applyAlignment="1">
      <alignment horizontal="center"/>
    </xf>
    <xf numFmtId="0" fontId="5" fillId="3" borderId="0" xfId="0" applyFont="1" applyFill="1" applyAlignment="1" quotePrefix="1">
      <alignment horizontal="left"/>
    </xf>
    <xf numFmtId="0" fontId="24" fillId="0" borderId="0" xfId="0" applyFont="1" applyFill="1" applyBorder="1" applyAlignment="1" quotePrefix="1">
      <alignment horizontal="left"/>
    </xf>
    <xf numFmtId="0" fontId="24" fillId="3" borderId="0" xfId="0" applyFont="1" applyFill="1" applyBorder="1" applyAlignment="1" quotePrefix="1">
      <alignment horizontal="left"/>
    </xf>
    <xf numFmtId="168" fontId="0" fillId="0" borderId="0" xfId="0" applyNumberFormat="1" applyFont="1" applyFill="1" applyBorder="1" applyAlignment="1">
      <alignment horizontal="right"/>
    </xf>
    <xf numFmtId="0" fontId="0" fillId="3" borderId="0" xfId="0" applyFill="1" applyAlignment="1" quotePrefix="1">
      <alignment horizontal="left"/>
    </xf>
    <xf numFmtId="168" fontId="0" fillId="3" borderId="0" xfId="0" applyNumberFormat="1" applyFont="1" applyFill="1" applyBorder="1" applyAlignment="1">
      <alignment horizontal="right"/>
    </xf>
    <xf numFmtId="9" fontId="0" fillId="3" borderId="1" xfId="0" applyNumberFormat="1" applyFill="1" applyBorder="1" applyAlignment="1" applyProtection="1">
      <alignment/>
      <protection locked="0"/>
    </xf>
    <xf numFmtId="168" fontId="0" fillId="3" borderId="1" xfId="0" applyNumberFormat="1" applyFill="1" applyBorder="1" applyAlignment="1" applyProtection="1">
      <alignment/>
      <protection locked="0"/>
    </xf>
    <xf numFmtId="0" fontId="0" fillId="3" borderId="1" xfId="0" applyFill="1" applyBorder="1" applyAlignment="1" applyProtection="1">
      <alignment/>
      <protection locked="0"/>
    </xf>
    <xf numFmtId="0" fontId="13" fillId="3" borderId="0" xfId="0" applyFont="1" applyFill="1" applyAlignment="1" applyProtection="1">
      <alignment horizontal="left"/>
      <protection locked="0"/>
    </xf>
    <xf numFmtId="167" fontId="1" fillId="0" borderId="1" xfId="0" applyNumberFormat="1" applyFont="1" applyFill="1" applyBorder="1" applyAlignment="1" applyProtection="1">
      <alignment horizontal="right"/>
      <protection locked="0"/>
    </xf>
    <xf numFmtId="169" fontId="1" fillId="0" borderId="1" xfId="0" applyNumberFormat="1" applyFont="1" applyFill="1" applyBorder="1" applyAlignment="1" applyProtection="1">
      <alignment horizontal="right"/>
      <protection locked="0"/>
    </xf>
    <xf numFmtId="3" fontId="1" fillId="0" borderId="1" xfId="0" applyNumberFormat="1" applyFont="1" applyFill="1" applyBorder="1" applyAlignment="1" applyProtection="1">
      <alignment horizontal="right"/>
      <protection locked="0"/>
    </xf>
    <xf numFmtId="10" fontId="0" fillId="3" borderId="1" xfId="0" applyNumberFormat="1" applyFill="1" applyBorder="1" applyAlignment="1" applyProtection="1">
      <alignment/>
      <protection locked="0"/>
    </xf>
    <xf numFmtId="166" fontId="0" fillId="0" borderId="1" xfId="0" applyNumberFormat="1" applyFont="1" applyFill="1" applyBorder="1" applyAlignment="1" applyProtection="1">
      <alignment horizontal="right"/>
      <protection locked="0"/>
    </xf>
    <xf numFmtId="165" fontId="0" fillId="0" borderId="1" xfId="0" applyNumberFormat="1" applyFont="1" applyFill="1" applyBorder="1" applyAlignment="1" applyProtection="1">
      <alignment horizontal="right"/>
      <protection locked="0"/>
    </xf>
    <xf numFmtId="10" fontId="0" fillId="0" borderId="1" xfId="0" applyNumberFormat="1" applyFont="1" applyFill="1" applyBorder="1" applyAlignment="1" applyProtection="1">
      <alignment horizontal="right"/>
      <protection locked="0"/>
    </xf>
    <xf numFmtId="0" fontId="0" fillId="3" borderId="1" xfId="0" applyFont="1" applyFill="1" applyBorder="1" applyAlignment="1" applyProtection="1">
      <alignment/>
      <protection locked="0"/>
    </xf>
    <xf numFmtId="9" fontId="0" fillId="0" borderId="1" xfId="0" applyNumberFormat="1" applyFont="1" applyFill="1" applyBorder="1" applyAlignment="1" applyProtection="1">
      <alignment horizontal="right"/>
      <protection locked="0"/>
    </xf>
    <xf numFmtId="168" fontId="0" fillId="0" borderId="1" xfId="0" applyNumberFormat="1" applyFont="1" applyFill="1" applyBorder="1" applyAlignment="1" applyProtection="1">
      <alignment horizontal="right"/>
      <protection locked="0"/>
    </xf>
    <xf numFmtId="2" fontId="0" fillId="0" borderId="1" xfId="0" applyNumberFormat="1" applyFont="1" applyFill="1" applyBorder="1" applyAlignment="1" applyProtection="1">
      <alignment horizontal="right"/>
      <protection locked="0"/>
    </xf>
    <xf numFmtId="0" fontId="15" fillId="3" borderId="0" xfId="0" applyFont="1" applyFill="1" applyBorder="1" applyAlignment="1">
      <alignment horizontal="left" vertical="top" wrapText="1"/>
    </xf>
    <xf numFmtId="0" fontId="0" fillId="3" borderId="0" xfId="0" applyFill="1" applyBorder="1" applyAlignment="1">
      <alignment horizontal="center"/>
    </xf>
    <xf numFmtId="0" fontId="0" fillId="2"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2" borderId="1" xfId="0" applyFont="1" applyFill="1" applyBorder="1" applyAlignment="1" quotePrefix="1">
      <alignment horizontal="center" vertical="center" wrapText="1"/>
    </xf>
    <xf numFmtId="0" fontId="0" fillId="0" borderId="1" xfId="0" applyBorder="1" applyAlignment="1">
      <alignment horizontal="center" vertical="center" wrapText="1"/>
    </xf>
    <xf numFmtId="0" fontId="0" fillId="3" borderId="0" xfId="0" applyFill="1" applyBorder="1" applyAlignment="1">
      <alignment horizontal="center" vertical="top"/>
    </xf>
    <xf numFmtId="0" fontId="0" fillId="0" borderId="0" xfId="0" applyFill="1" applyBorder="1" applyAlignment="1">
      <alignment horizontal="center"/>
    </xf>
    <xf numFmtId="49" fontId="0" fillId="2" borderId="14" xfId="0" applyNumberFormat="1" applyFont="1" applyFill="1" applyBorder="1" applyAlignment="1">
      <alignment horizontal="center" vertical="center" wrapText="1"/>
    </xf>
    <xf numFmtId="0" fontId="0" fillId="0" borderId="10" xfId="0" applyBorder="1" applyAlignment="1">
      <alignment vertical="center"/>
    </xf>
    <xf numFmtId="0" fontId="0" fillId="2" borderId="14"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30-Year Nominal Dollar Cash Flow</a:t>
            </a:r>
          </a:p>
        </c:rich>
      </c:tx>
      <c:layout/>
      <c:spPr>
        <a:noFill/>
        <a:ln>
          <a:noFill/>
        </a:ln>
      </c:spPr>
    </c:title>
    <c:plotArea>
      <c:layout>
        <c:manualLayout>
          <c:xMode val="edge"/>
          <c:yMode val="edge"/>
          <c:x val="0.059"/>
          <c:y val="0.07225"/>
          <c:w val="0.8965"/>
          <c:h val="0.906"/>
        </c:manualLayout>
      </c:layout>
      <c:barChart>
        <c:barDir val="col"/>
        <c:grouping val="clustered"/>
        <c:varyColors val="0"/>
        <c:ser>
          <c:idx val="0"/>
          <c:order val="0"/>
          <c:tx>
            <c:v>Cash-Flow</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'Cash Flow'!$D$29:$AH$29</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'Cash Flow'!$D$44:$AH$44</c:f>
              <c:numCache>
                <c:ptCount val="31"/>
                <c:pt idx="0">
                  <c:v>-10174.2</c:v>
                </c:pt>
                <c:pt idx="1">
                  <c:v>3248.9428551878773</c:v>
                </c:pt>
                <c:pt idx="2">
                  <c:v>3397.7784707496758</c:v>
                </c:pt>
                <c:pt idx="3">
                  <c:v>3548.6605425188473</c:v>
                </c:pt>
                <c:pt idx="4">
                  <c:v>3701.569532972786</c:v>
                </c:pt>
                <c:pt idx="5">
                  <c:v>3856.4815835063982</c:v>
                </c:pt>
                <c:pt idx="6">
                  <c:v>4013.368172538865</c:v>
                </c:pt>
                <c:pt idx="7">
                  <c:v>4172.195750176897</c:v>
                </c:pt>
                <c:pt idx="8">
                  <c:v>4332.925347886221</c:v>
                </c:pt>
                <c:pt idx="9">
                  <c:v>4495.512161521974</c:v>
                </c:pt>
                <c:pt idx="10">
                  <c:v>4659.905105960874</c:v>
                </c:pt>
                <c:pt idx="11">
                  <c:v>4826.046339463463</c:v>
                </c:pt>
                <c:pt idx="12">
                  <c:v>4993.870755772388</c:v>
                </c:pt>
                <c:pt idx="13">
                  <c:v>5163.305441822629</c:v>
                </c:pt>
                <c:pt idx="14">
                  <c:v>5334.269098801002</c:v>
                </c:pt>
                <c:pt idx="15">
                  <c:v>5506.671424144526</c:v>
                </c:pt>
                <c:pt idx="16">
                  <c:v>5680.412451910177</c:v>
                </c:pt>
                <c:pt idx="17">
                  <c:v>5855.3818487808785</c:v>
                </c:pt>
                <c:pt idx="18">
                  <c:v>6031.458162794468</c:v>
                </c:pt>
                <c:pt idx="19">
                  <c:v>6208.5080216921615</c:v>
                </c:pt>
                <c:pt idx="20">
                  <c:v>6386.385277580892</c:v>
                </c:pt>
                <c:pt idx="21">
                  <c:v>6564.930094388319</c:v>
                </c:pt>
                <c:pt idx="22">
                  <c:v>6743.967974359894</c:v>
                </c:pt>
                <c:pt idx="23">
                  <c:v>6923.3087196027045</c:v>
                </c:pt>
                <c:pt idx="24">
                  <c:v>7102.745324420854</c:v>
                </c:pt>
                <c:pt idx="25">
                  <c:v>7282.052793909421</c:v>
                </c:pt>
                <c:pt idx="26">
                  <c:v>7460.986883979134</c:v>
                </c:pt>
                <c:pt idx="27">
                  <c:v>7639.282757669051</c:v>
                </c:pt>
                <c:pt idx="28">
                  <c:v>7816.653552269801</c:v>
                </c:pt>
                <c:pt idx="29">
                  <c:v>7992.788851423005</c:v>
                </c:pt>
                <c:pt idx="30">
                  <c:v>8167.35305598265</c:v>
                </c:pt>
              </c:numCache>
            </c:numRef>
          </c:val>
        </c:ser>
        <c:gapWidth val="50"/>
        <c:axId val="44417763"/>
        <c:axId val="64215548"/>
      </c:barChart>
      <c:lineChart>
        <c:grouping val="standard"/>
        <c:varyColors val="0"/>
        <c:ser>
          <c:idx val="1"/>
          <c:order val="1"/>
          <c:tx>
            <c:strRef>
              <c:f>'Cash Flow'!$C$45</c:f>
              <c:strCache>
                <c:ptCount val="1"/>
                <c:pt idx="0">
                  <c:v>Cumulative Net Cash-Flow</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'Cash Flow'!$D$29:$AH$29</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'Cash Flow'!$D$45:$AH$45</c:f>
              <c:numCache>
                <c:ptCount val="31"/>
                <c:pt idx="0">
                  <c:v>-10174.2</c:v>
                </c:pt>
                <c:pt idx="1">
                  <c:v>-6925.257144812123</c:v>
                </c:pt>
                <c:pt idx="2">
                  <c:v>-3527.4786740624477</c:v>
                </c:pt>
                <c:pt idx="3">
                  <c:v>21.18186845639957</c:v>
                </c:pt>
                <c:pt idx="4">
                  <c:v>3722.7514014291855</c:v>
                </c:pt>
                <c:pt idx="5">
                  <c:v>7579.232984935584</c:v>
                </c:pt>
                <c:pt idx="6">
                  <c:v>11592.601157474448</c:v>
                </c:pt>
                <c:pt idx="7">
                  <c:v>15764.796907651344</c:v>
                </c:pt>
                <c:pt idx="8">
                  <c:v>20097.722255537563</c:v>
                </c:pt>
                <c:pt idx="9">
                  <c:v>24593.23441705954</c:v>
                </c:pt>
                <c:pt idx="10">
                  <c:v>29253.139523020414</c:v>
                </c:pt>
                <c:pt idx="11">
                  <c:v>34079.18586248388</c:v>
                </c:pt>
                <c:pt idx="12">
                  <c:v>39073.05661825627</c:v>
                </c:pt>
                <c:pt idx="13">
                  <c:v>44236.3620600789</c:v>
                </c:pt>
                <c:pt idx="14">
                  <c:v>49570.6311588799</c:v>
                </c:pt>
                <c:pt idx="15">
                  <c:v>55077.30258302443</c:v>
                </c:pt>
                <c:pt idx="16">
                  <c:v>60757.715034934605</c:v>
                </c:pt>
                <c:pt idx="17">
                  <c:v>66613.09688371548</c:v>
                </c:pt>
                <c:pt idx="18">
                  <c:v>72644.55504650995</c:v>
                </c:pt>
                <c:pt idx="19">
                  <c:v>78853.06306820211</c:v>
                </c:pt>
                <c:pt idx="20">
                  <c:v>85239.448345783</c:v>
                </c:pt>
                <c:pt idx="21">
                  <c:v>91804.37844017132</c:v>
                </c:pt>
                <c:pt idx="22">
                  <c:v>98548.34641453122</c:v>
                </c:pt>
                <c:pt idx="23">
                  <c:v>105471.65513413392</c:v>
                </c:pt>
                <c:pt idx="24">
                  <c:v>112574.40045855478</c:v>
                </c:pt>
                <c:pt idx="25">
                  <c:v>119856.4532524642</c:v>
                </c:pt>
                <c:pt idx="26">
                  <c:v>127317.44013644333</c:v>
                </c:pt>
                <c:pt idx="27">
                  <c:v>134956.72289411238</c:v>
                </c:pt>
                <c:pt idx="28">
                  <c:v>142773.37644638217</c:v>
                </c:pt>
                <c:pt idx="29">
                  <c:v>150766.1652978052</c:v>
                </c:pt>
                <c:pt idx="30">
                  <c:v>158933.51835378783</c:v>
                </c:pt>
              </c:numCache>
            </c:numRef>
          </c:val>
          <c:smooth val="0"/>
        </c:ser>
        <c:axId val="44417763"/>
        <c:axId val="64215548"/>
      </c:lineChart>
      <c:catAx>
        <c:axId val="44417763"/>
        <c:scaling>
          <c:orientation val="minMax"/>
        </c:scaling>
        <c:axPos val="b"/>
        <c:title>
          <c:tx>
            <c:rich>
              <a:bodyPr vert="horz" rot="0" anchor="ctr"/>
              <a:lstStyle/>
              <a:p>
                <a:pPr algn="ctr">
                  <a:defRPr/>
                </a:pPr>
                <a:r>
                  <a:rPr lang="en-US" cap="none" sz="1400" b="1" i="0" u="none" baseline="0">
                    <a:latin typeface="Arial"/>
                    <a:ea typeface="Arial"/>
                    <a:cs typeface="Arial"/>
                  </a:rPr>
                  <a:t>Investment Year</a:t>
                </a:r>
              </a:p>
            </c:rich>
          </c:tx>
          <c:layout>
            <c:manualLayout>
              <c:xMode val="factor"/>
              <c:yMode val="factor"/>
              <c:x val="0.01125"/>
              <c:y val="-0.0095"/>
            </c:manualLayout>
          </c:layout>
          <c:overlay val="0"/>
          <c:spPr>
            <a:noFill/>
            <a:ln>
              <a:noFill/>
            </a:ln>
          </c:spPr>
        </c:title>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64215548"/>
        <c:crosses val="autoZero"/>
        <c:auto val="1"/>
        <c:lblOffset val="100"/>
        <c:noMultiLvlLbl val="0"/>
      </c:catAx>
      <c:valAx>
        <c:axId val="64215548"/>
        <c:scaling>
          <c:orientation val="minMax"/>
        </c:scaling>
        <c:axPos val="l"/>
        <c:title>
          <c:tx>
            <c:rich>
              <a:bodyPr vert="horz" rot="-5400000" anchor="ctr"/>
              <a:lstStyle/>
              <a:p>
                <a:pPr algn="ctr">
                  <a:defRPr/>
                </a:pPr>
                <a:r>
                  <a:rPr lang="en-US" cap="none" sz="1400" b="1" i="0" u="none" baseline="0">
                    <a:latin typeface="Arial"/>
                    <a:ea typeface="Arial"/>
                    <a:cs typeface="Arial"/>
                  </a:rPr>
                  <a:t>Cash Flow (Revenue - Expense)</a:t>
                </a:r>
              </a:p>
            </c:rich>
          </c:tx>
          <c:layout>
            <c:manualLayout>
              <c:xMode val="factor"/>
              <c:yMode val="factor"/>
              <c:x val="-0.0035"/>
              <c:y val="0.016"/>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4417763"/>
        <c:crossesAt val="1"/>
        <c:crossBetween val="between"/>
        <c:dispUnits/>
      </c:valAx>
      <c:spPr>
        <a:noFill/>
        <a:ln>
          <a:noFill/>
        </a:ln>
      </c:spPr>
    </c:plotArea>
    <c:legend>
      <c:legendPos val="r"/>
      <c:layout>
        <c:manualLayout>
          <c:xMode val="edge"/>
          <c:yMode val="edge"/>
          <c:x val="0.16075"/>
          <c:y val="0.114"/>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800" b="1" i="0" u="none" baseline="0">
              <a:latin typeface="Arial"/>
              <a:ea typeface="Arial"/>
              <a:cs typeface="Arial"/>
            </a:defRPr>
          </a:pPr>
        </a:p>
      </c:txPr>
    </c:title>
    <c:plotArea>
      <c:layout>
        <c:manualLayout>
          <c:xMode val="edge"/>
          <c:yMode val="edge"/>
          <c:x val="0.06275"/>
          <c:y val="0.08525"/>
          <c:w val="0.9285"/>
          <c:h val="0.84275"/>
        </c:manualLayout>
      </c:layout>
      <c:scatterChart>
        <c:scatterStyle val="line"/>
        <c:varyColors val="0"/>
        <c:ser>
          <c:idx val="0"/>
          <c:order val="0"/>
          <c:tx>
            <c:strRef>
              <c:f>Assumptions!$E$44</c:f>
              <c:strCache>
                <c:ptCount val="1"/>
                <c:pt idx="0">
                  <c:v>Wind Turbine Power (kW)</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Assumptions!$D$45:$D$69</c:f>
              <c:num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xVal>
          <c:yVal>
            <c:numRef>
              <c:f>Assumptions!$E$45:$E$69</c:f>
              <c:numCache>
                <c:ptCount val="25"/>
                <c:pt idx="0">
                  <c:v>0</c:v>
                </c:pt>
                <c:pt idx="1">
                  <c:v>0</c:v>
                </c:pt>
                <c:pt idx="2">
                  <c:v>0</c:v>
                </c:pt>
                <c:pt idx="3">
                  <c:v>0</c:v>
                </c:pt>
                <c:pt idx="4">
                  <c:v>4.4</c:v>
                </c:pt>
                <c:pt idx="5">
                  <c:v>8.9</c:v>
                </c:pt>
                <c:pt idx="6">
                  <c:v>15.6</c:v>
                </c:pt>
                <c:pt idx="7">
                  <c:v>24.4</c:v>
                </c:pt>
                <c:pt idx="8">
                  <c:v>33</c:v>
                </c:pt>
                <c:pt idx="9">
                  <c:v>44</c:v>
                </c:pt>
                <c:pt idx="10">
                  <c:v>50</c:v>
                </c:pt>
                <c:pt idx="11">
                  <c:v>55</c:v>
                </c:pt>
                <c:pt idx="12">
                  <c:v>58</c:v>
                </c:pt>
                <c:pt idx="13">
                  <c:v>62</c:v>
                </c:pt>
                <c:pt idx="14">
                  <c:v>64</c:v>
                </c:pt>
                <c:pt idx="15">
                  <c:v>66</c:v>
                </c:pt>
                <c:pt idx="16">
                  <c:v>65</c:v>
                </c:pt>
                <c:pt idx="17">
                  <c:v>64</c:v>
                </c:pt>
                <c:pt idx="18">
                  <c:v>64</c:v>
                </c:pt>
                <c:pt idx="19">
                  <c:v>64</c:v>
                </c:pt>
                <c:pt idx="20">
                  <c:v>63</c:v>
                </c:pt>
                <c:pt idx="21">
                  <c:v>63</c:v>
                </c:pt>
                <c:pt idx="22">
                  <c:v>63</c:v>
                </c:pt>
                <c:pt idx="23">
                  <c:v>63</c:v>
                </c:pt>
                <c:pt idx="24">
                  <c:v>63</c:v>
                </c:pt>
              </c:numCache>
            </c:numRef>
          </c:yVal>
          <c:smooth val="0"/>
        </c:ser>
        <c:axId val="41069021"/>
        <c:axId val="34076870"/>
      </c:scatterChart>
      <c:valAx>
        <c:axId val="41069021"/>
        <c:scaling>
          <c:orientation val="minMax"/>
          <c:max val="25"/>
        </c:scaling>
        <c:axPos val="b"/>
        <c:title>
          <c:tx>
            <c:rich>
              <a:bodyPr vert="horz" rot="0" anchor="ctr"/>
              <a:lstStyle/>
              <a:p>
                <a:pPr algn="ctr">
                  <a:defRPr/>
                </a:pPr>
                <a:r>
                  <a:rPr lang="en-US" cap="none" sz="1750" b="0" i="0" u="none" baseline="0">
                    <a:latin typeface="Arial"/>
                    <a:ea typeface="Arial"/>
                    <a:cs typeface="Arial"/>
                  </a:rPr>
                  <a:t>Wind Speed (meters per second)</a:t>
                </a:r>
              </a:p>
            </c:rich>
          </c:tx>
          <c:layout>
            <c:manualLayout>
              <c:xMode val="factor"/>
              <c:yMode val="factor"/>
              <c:x val="-0.01625"/>
              <c:y val="-0.0015"/>
            </c:manualLayout>
          </c:layout>
          <c:overlay val="0"/>
          <c:spPr>
            <a:noFill/>
            <a:ln>
              <a:noFill/>
            </a:ln>
          </c:spPr>
        </c:title>
        <c:delete val="0"/>
        <c:numFmt formatCode="General" sourceLinked="1"/>
        <c:majorTickMark val="out"/>
        <c:minorTickMark val="none"/>
        <c:tickLblPos val="nextTo"/>
        <c:crossAx val="34076870"/>
        <c:crosses val="autoZero"/>
        <c:crossBetween val="midCat"/>
        <c:dispUnits/>
      </c:valAx>
      <c:valAx>
        <c:axId val="34076870"/>
        <c:scaling>
          <c:orientation val="minMax"/>
        </c:scaling>
        <c:axPos val="l"/>
        <c:title>
          <c:tx>
            <c:rich>
              <a:bodyPr vert="horz" rot="-5400000" anchor="ctr"/>
              <a:lstStyle/>
              <a:p>
                <a:pPr algn="ctr">
                  <a:defRPr/>
                </a:pPr>
                <a:r>
                  <a:rPr lang="en-US" cap="none" sz="1550" b="0" i="0" u="none" baseline="0">
                    <a:latin typeface="Arial"/>
                    <a:ea typeface="Arial"/>
                    <a:cs typeface="Arial"/>
                  </a:rPr>
                  <a:t>kW Output</a:t>
                </a:r>
              </a:p>
            </c:rich>
          </c:tx>
          <c:layout>
            <c:manualLayout>
              <c:xMode val="factor"/>
              <c:yMode val="factor"/>
              <c:x val="-0.00475"/>
              <c:y val="0.00425"/>
            </c:manualLayout>
          </c:layout>
          <c:overlay val="0"/>
          <c:spPr>
            <a:noFill/>
            <a:ln>
              <a:noFill/>
            </a:ln>
          </c:spPr>
        </c:title>
        <c:delete val="0"/>
        <c:numFmt formatCode="General" sourceLinked="1"/>
        <c:majorTickMark val="out"/>
        <c:minorTickMark val="none"/>
        <c:tickLblPos val="nextTo"/>
        <c:crossAx val="41069021"/>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82"/>
  </sheetViews>
  <pageMargins left="0.75" right="0.75" top="1" bottom="1" header="0.5" footer="0.5"/>
  <pageSetup horizontalDpi="96" verticalDpi="96"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B2:J31"/>
  <sheetViews>
    <sheetView workbookViewId="0" topLeftCell="A1">
      <selection activeCell="A1" sqref="A1"/>
    </sheetView>
  </sheetViews>
  <sheetFormatPr defaultColWidth="11.421875" defaultRowHeight="12.75"/>
  <cols>
    <col min="1" max="1" width="2.8515625" style="14" customWidth="1"/>
    <col min="2" max="2" width="3.421875" style="14" customWidth="1"/>
    <col min="3" max="4" width="9.140625" style="14" customWidth="1"/>
    <col min="5" max="5" width="10.421875" style="14" customWidth="1"/>
    <col min="6" max="6" width="10.00390625" style="14" customWidth="1"/>
    <col min="7" max="16384" width="9.140625" style="14" customWidth="1"/>
  </cols>
  <sheetData>
    <row r="1" ht="8.25" customHeight="1"/>
    <row r="2" spans="2:10" ht="18">
      <c r="B2" s="16"/>
      <c r="C2" s="92" t="s">
        <v>104</v>
      </c>
      <c r="D2" s="17"/>
      <c r="E2" s="17"/>
      <c r="F2" s="17"/>
      <c r="G2" s="17"/>
      <c r="H2" s="17"/>
      <c r="I2" s="17"/>
      <c r="J2" s="18"/>
    </row>
    <row r="3" spans="2:10" ht="12">
      <c r="B3" s="19"/>
      <c r="C3" s="15"/>
      <c r="D3" s="15"/>
      <c r="E3" s="15"/>
      <c r="F3" s="15"/>
      <c r="G3" s="15"/>
      <c r="H3" s="15"/>
      <c r="I3" s="15"/>
      <c r="J3" s="20"/>
    </row>
    <row r="4" spans="2:10" ht="15">
      <c r="B4" s="19"/>
      <c r="C4" s="15"/>
      <c r="D4" s="90" t="s">
        <v>18</v>
      </c>
      <c r="E4" s="91"/>
      <c r="F4" s="91"/>
      <c r="G4" s="91"/>
      <c r="H4" s="91"/>
      <c r="I4" s="91"/>
      <c r="J4" s="91"/>
    </row>
    <row r="5" spans="2:10" ht="12">
      <c r="B5" s="19"/>
      <c r="C5" s="15"/>
      <c r="D5" s="15"/>
      <c r="E5" s="15"/>
      <c r="F5" s="15"/>
      <c r="G5" s="15"/>
      <c r="H5" s="15"/>
      <c r="I5" s="15"/>
      <c r="J5" s="20"/>
    </row>
    <row r="6" spans="2:10" ht="15">
      <c r="B6" s="19"/>
      <c r="C6" s="15"/>
      <c r="D6" s="15"/>
      <c r="E6" s="90" t="s">
        <v>19</v>
      </c>
      <c r="F6" s="91"/>
      <c r="G6" s="91"/>
      <c r="H6" s="91"/>
      <c r="I6" s="91"/>
      <c r="J6" s="91"/>
    </row>
    <row r="7" spans="2:10" ht="12">
      <c r="B7" s="19"/>
      <c r="C7" s="15"/>
      <c r="D7" s="15"/>
      <c r="E7" s="15"/>
      <c r="F7" s="15"/>
      <c r="G7" s="15"/>
      <c r="H7" s="15"/>
      <c r="I7" s="15"/>
      <c r="J7" s="20"/>
    </row>
    <row r="8" spans="2:10" ht="15">
      <c r="B8" s="19"/>
      <c r="C8" s="15"/>
      <c r="D8" s="15"/>
      <c r="E8" s="15"/>
      <c r="F8" s="90" t="s">
        <v>20</v>
      </c>
      <c r="G8" s="91"/>
      <c r="H8" s="91"/>
      <c r="I8" s="91"/>
      <c r="J8" s="91"/>
    </row>
    <row r="9" spans="2:10" ht="12">
      <c r="B9" s="19"/>
      <c r="C9" s="15"/>
      <c r="D9" s="15"/>
      <c r="E9" s="15"/>
      <c r="F9" s="15"/>
      <c r="G9" s="15"/>
      <c r="H9" s="15"/>
      <c r="I9" s="15"/>
      <c r="J9" s="20"/>
    </row>
    <row r="10" spans="2:10" ht="12">
      <c r="B10" s="21"/>
      <c r="C10" s="22"/>
      <c r="D10" s="22"/>
      <c r="E10" s="22"/>
      <c r="F10" s="22"/>
      <c r="G10" s="22"/>
      <c r="H10" s="22"/>
      <c r="I10" s="22"/>
      <c r="J10" s="23"/>
    </row>
    <row r="12" spans="2:10" ht="12">
      <c r="B12" s="43"/>
      <c r="C12" s="44"/>
      <c r="D12" s="44"/>
      <c r="E12" s="44"/>
      <c r="F12" s="44"/>
      <c r="G12" s="44"/>
      <c r="H12" s="44"/>
      <c r="I12" s="44"/>
      <c r="J12" s="45"/>
    </row>
    <row r="13" spans="2:10" ht="15">
      <c r="B13" s="46"/>
      <c r="C13" s="81" t="s">
        <v>39</v>
      </c>
      <c r="D13" s="51"/>
      <c r="E13" s="51"/>
      <c r="F13" s="52"/>
      <c r="G13" s="80">
        <f>IF(ISERROR('Cash Flow'!$D$5),0,'Cash Flow'!$D$5)</f>
        <v>3</v>
      </c>
      <c r="H13" s="47"/>
      <c r="I13" s="47"/>
      <c r="J13" s="48"/>
    </row>
    <row r="14" spans="2:10" ht="15">
      <c r="B14" s="46"/>
      <c r="C14" s="50"/>
      <c r="D14" s="51"/>
      <c r="E14" s="51"/>
      <c r="F14" s="52"/>
      <c r="G14" s="52"/>
      <c r="H14" s="47"/>
      <c r="I14" s="47"/>
      <c r="J14" s="48"/>
    </row>
    <row r="15" spans="2:10" ht="12" customHeight="1">
      <c r="B15" s="46"/>
      <c r="C15" s="50"/>
      <c r="D15" s="51"/>
      <c r="E15" s="51"/>
      <c r="F15" s="52"/>
      <c r="G15" s="52"/>
      <c r="H15" s="47"/>
      <c r="I15" s="47"/>
      <c r="J15" s="48"/>
    </row>
    <row r="16" spans="2:10" ht="12.75" customHeight="1">
      <c r="B16" s="46"/>
      <c r="C16" s="133" t="str">
        <f>IF($G$13=0,C24,IF($G$13&lt;=5,C25,IF($G$13&lt;=10,C26,IF($G$13&gt;10,C27))))</f>
        <v>Based on the assumptions that you entered, this investment looks very attractive. The payback period is 3. That means that your initial capital investment will be fully recovered within 3 years of the purchase. However, this simplified analysis is only preliminary. Please conduct a more thourough analysis before proceeding.</v>
      </c>
      <c r="D16" s="133"/>
      <c r="E16" s="133"/>
      <c r="F16" s="133"/>
      <c r="G16" s="133"/>
      <c r="H16" s="133"/>
      <c r="I16" s="133"/>
      <c r="J16" s="48"/>
    </row>
    <row r="17" spans="2:10" ht="12.75" customHeight="1">
      <c r="B17" s="46"/>
      <c r="C17" s="133"/>
      <c r="D17" s="133"/>
      <c r="E17" s="133"/>
      <c r="F17" s="133"/>
      <c r="G17" s="133"/>
      <c r="H17" s="133"/>
      <c r="I17" s="133"/>
      <c r="J17" s="48"/>
    </row>
    <row r="18" spans="2:10" ht="12.75" customHeight="1">
      <c r="B18" s="46"/>
      <c r="C18" s="133"/>
      <c r="D18" s="133"/>
      <c r="E18" s="133"/>
      <c r="F18" s="133"/>
      <c r="G18" s="133"/>
      <c r="H18" s="133"/>
      <c r="I18" s="133"/>
      <c r="J18" s="48"/>
    </row>
    <row r="19" spans="2:10" ht="12.75" customHeight="1">
      <c r="B19" s="46"/>
      <c r="C19" s="133"/>
      <c r="D19" s="133"/>
      <c r="E19" s="133"/>
      <c r="F19" s="133"/>
      <c r="G19" s="133"/>
      <c r="H19" s="133"/>
      <c r="I19" s="133"/>
      <c r="J19" s="48"/>
    </row>
    <row r="20" spans="2:10" ht="12.75" customHeight="1">
      <c r="B20" s="46"/>
      <c r="C20" s="133"/>
      <c r="D20" s="133"/>
      <c r="E20" s="133"/>
      <c r="F20" s="133"/>
      <c r="G20" s="133"/>
      <c r="H20" s="133"/>
      <c r="I20" s="133"/>
      <c r="J20" s="48" t="s">
        <v>105</v>
      </c>
    </row>
    <row r="21" spans="2:10" ht="12.75" customHeight="1">
      <c r="B21" s="46"/>
      <c r="C21" s="133"/>
      <c r="D21" s="133"/>
      <c r="E21" s="133"/>
      <c r="F21" s="133"/>
      <c r="G21" s="133"/>
      <c r="H21" s="133"/>
      <c r="I21" s="133"/>
      <c r="J21" s="53"/>
    </row>
    <row r="22" spans="2:10" ht="12">
      <c r="B22" s="49"/>
      <c r="C22" s="54"/>
      <c r="D22" s="54"/>
      <c r="E22" s="54"/>
      <c r="F22" s="54"/>
      <c r="G22" s="54"/>
      <c r="H22" s="54"/>
      <c r="I22" s="54"/>
      <c r="J22" s="55"/>
    </row>
    <row r="23" spans="2:10" ht="12">
      <c r="B23" s="88"/>
      <c r="C23" s="89"/>
      <c r="D23" s="89"/>
      <c r="E23" s="89"/>
      <c r="F23" s="89"/>
      <c r="G23" s="89"/>
      <c r="H23" s="89"/>
      <c r="I23" s="89"/>
      <c r="J23" s="89"/>
    </row>
    <row r="24" spans="2:10" ht="12">
      <c r="B24" s="88"/>
      <c r="C24" s="58" t="str">
        <f>"A simple payback period could not be calculated based on the information that you have selected. Please check your assumptions and try again."</f>
        <v>A simple payback period could not be calculated based on the information that you have selected. Please check your assumptions and try again.</v>
      </c>
      <c r="D24" s="89"/>
      <c r="E24" s="89"/>
      <c r="F24" s="89"/>
      <c r="G24" s="89"/>
      <c r="H24" s="89"/>
      <c r="I24" s="89"/>
      <c r="J24" s="89"/>
    </row>
    <row r="25" ht="12">
      <c r="C25" s="58" t="str">
        <f>"Based on the assumptions that you entered, this investment looks very attractive. The payback period is "&amp;$G$13&amp;". That means that your initial capital investment will be fully recovered within "&amp;$G$13&amp;" years of the purchase. However, this simplified analysis is only preliminary. Please conduct a more thourough analysis before proceeding."</f>
        <v>Based on the assumptions that you entered, this investment looks very attractive. The payback period is 3. That means that your initial capital investment will be fully recovered within 3 years of the purchase. However, this simplified analysis is only preliminary. Please conduct a more thourough analysis before proceeding.</v>
      </c>
    </row>
    <row r="26" spans="2:3" ht="12">
      <c r="B26" s="56"/>
      <c r="C26" s="58" t="str">
        <f>"Based on the assumptions that you entered, this investment appears only marginally attractive. The payback period is "&amp;$G$13&amp;". That means that your initial capital investment will be fully recovered within "&amp;$G$13&amp;" years of the purchase. However, this analysis is only preliminary. Please conduct a more thourough analysis before proceeding."</f>
        <v>Based on the assumptions that you entered, this investment appears only marginally attractive. The payback period is 3. That means that your initial capital investment will be fully recovered within 3 years of the purchase. However, this analysis is only preliminary. Please conduct a more thourough analysis before proceeding.</v>
      </c>
    </row>
    <row r="27" spans="2:3" ht="12">
      <c r="B27" s="56"/>
      <c r="C27" s="58" t="str">
        <f>"Based on the assumptions that you entered, this investment does not look very attractive. The payback period is "&amp;$G$13&amp;". That means that your initial capital investment will not be fully recovered until "&amp;$G$13&amp;" years of the purchase. However, this analysis is only preliminary. Please conduct a more thourough analysis before proceeding."</f>
        <v>Based on the assumptions that you entered, this investment does not look very attractive. The payback period is 3. That means that your initial capital investment will not be fully recovered until 3 years of the purchase. However, this analysis is only preliminary. Please conduct a more thourough analysis before proceeding.</v>
      </c>
    </row>
    <row r="28" spans="2:3" ht="12">
      <c r="B28" s="57"/>
      <c r="C28" s="58" t="s">
        <v>115</v>
      </c>
    </row>
    <row r="29" ht="12">
      <c r="B29" s="57"/>
    </row>
    <row r="30" spans="2:3" ht="12">
      <c r="B30" s="57"/>
      <c r="C30" s="58"/>
    </row>
    <row r="31" spans="2:3" ht="12">
      <c r="B31" s="56"/>
      <c r="C31" s="58"/>
    </row>
  </sheetData>
  <sheetProtection password="CAB3" sheet="1" objects="1" scenarios="1"/>
  <mergeCells count="1">
    <mergeCell ref="C16:I21"/>
  </mergeCells>
  <printOptions/>
  <pageMargins left="0.75" right="0.75" top="1" bottom="1" header="0.5" footer="0.5"/>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sheetPr codeName="Sheet2"/>
  <dimension ref="A1:K13"/>
  <sheetViews>
    <sheetView tabSelected="1" workbookViewId="0" topLeftCell="A1">
      <selection activeCell="A1" sqref="A1"/>
    </sheetView>
  </sheetViews>
  <sheetFormatPr defaultColWidth="11.421875" defaultRowHeight="12.75"/>
  <cols>
    <col min="1" max="1" width="45.140625" style="25" customWidth="1"/>
    <col min="2" max="4" width="9.140625" style="25" customWidth="1"/>
    <col min="5" max="5" width="12.140625" style="25" customWidth="1"/>
    <col min="6" max="16384" width="9.140625" style="25" customWidth="1"/>
  </cols>
  <sheetData>
    <row r="1" spans="1:2" ht="18" customHeight="1">
      <c r="A1" s="113" t="str">
        <f>"Payback Period = "&amp;IF(ISERROR('Cash Flow'!$D$5),0,'Cash Flow'!$D$5)&amp;" years"</f>
        <v>Payback Period = 3 years</v>
      </c>
      <c r="B1" s="112" t="s">
        <v>67</v>
      </c>
    </row>
    <row r="2" spans="1:5" ht="18">
      <c r="A2" s="24" t="s">
        <v>25</v>
      </c>
      <c r="B2" s="72"/>
      <c r="C2" s="73"/>
      <c r="D2" s="73"/>
      <c r="E2" s="74"/>
    </row>
    <row r="3" ht="10.5" customHeight="1">
      <c r="A3" s="121">
        <v>1</v>
      </c>
    </row>
    <row r="4" spans="2:11" ht="12">
      <c r="B4" s="135" t="s">
        <v>21</v>
      </c>
      <c r="C4" s="135" t="s">
        <v>22</v>
      </c>
      <c r="D4" s="135" t="s">
        <v>77</v>
      </c>
      <c r="E4" s="137" t="s">
        <v>50</v>
      </c>
      <c r="F4" s="134"/>
      <c r="G4" s="134"/>
      <c r="H4" s="134"/>
      <c r="I4" s="134"/>
      <c r="J4" s="134"/>
      <c r="K4" s="15"/>
    </row>
    <row r="5" spans="2:11" ht="12">
      <c r="B5" s="136"/>
      <c r="C5" s="136"/>
      <c r="D5" s="136"/>
      <c r="E5" s="138"/>
      <c r="F5" s="134"/>
      <c r="G5" s="134"/>
      <c r="H5" s="134"/>
      <c r="I5" s="134"/>
      <c r="J5" s="134"/>
      <c r="K5" s="15"/>
    </row>
    <row r="6" spans="1:11" ht="12">
      <c r="A6" s="36" t="s">
        <v>2</v>
      </c>
      <c r="B6" s="31">
        <v>0.1</v>
      </c>
      <c r="C6" s="31">
        <v>0.1</v>
      </c>
      <c r="D6" s="31">
        <v>1</v>
      </c>
      <c r="E6" s="118"/>
      <c r="F6" s="30" t="s">
        <v>23</v>
      </c>
      <c r="G6" s="15"/>
      <c r="H6" s="15"/>
      <c r="I6" s="15"/>
      <c r="J6" s="15"/>
      <c r="K6" s="15"/>
    </row>
    <row r="7" spans="1:11" ht="12">
      <c r="A7" s="36" t="s">
        <v>78</v>
      </c>
      <c r="B7" s="84">
        <v>0.065</v>
      </c>
      <c r="C7" s="84">
        <v>0.1</v>
      </c>
      <c r="D7" s="84">
        <v>0</v>
      </c>
      <c r="E7" s="119"/>
      <c r="F7" s="93" t="s">
        <v>51</v>
      </c>
      <c r="G7" s="15"/>
      <c r="H7" s="15"/>
      <c r="I7" s="15"/>
      <c r="J7" s="15"/>
      <c r="K7" s="15"/>
    </row>
    <row r="8" spans="1:11" ht="12">
      <c r="A8" s="36" t="s">
        <v>81</v>
      </c>
      <c r="B8" s="27">
        <v>0.3</v>
      </c>
      <c r="C8" s="27">
        <v>0</v>
      </c>
      <c r="D8" s="27">
        <v>0</v>
      </c>
      <c r="E8" s="119"/>
      <c r="F8" s="93" t="s">
        <v>52</v>
      </c>
      <c r="G8" s="15"/>
      <c r="H8" s="15"/>
      <c r="I8" s="15"/>
      <c r="J8" s="15"/>
      <c r="K8" s="15"/>
    </row>
    <row r="9" spans="1:11" ht="12">
      <c r="A9" s="36" t="s">
        <v>80</v>
      </c>
      <c r="B9" s="26">
        <v>30</v>
      </c>
      <c r="C9" s="26">
        <v>15</v>
      </c>
      <c r="D9" s="26">
        <v>0</v>
      </c>
      <c r="E9" s="120"/>
      <c r="F9" s="30" t="s">
        <v>24</v>
      </c>
      <c r="G9" s="15"/>
      <c r="H9" s="15"/>
      <c r="I9" s="15"/>
      <c r="J9" s="15"/>
      <c r="K9" s="15"/>
    </row>
    <row r="10" spans="6:11" ht="12">
      <c r="F10" s="15"/>
      <c r="G10" s="15"/>
      <c r="H10" s="15"/>
      <c r="I10" s="15"/>
      <c r="J10" s="15"/>
      <c r="K10" s="15"/>
    </row>
    <row r="11" spans="2:11" ht="15">
      <c r="B11" s="51"/>
      <c r="C11" s="51"/>
      <c r="D11" s="52"/>
      <c r="E11" s="80"/>
      <c r="F11" s="15"/>
      <c r="G11" s="15"/>
      <c r="H11" s="15"/>
      <c r="I11" s="15"/>
      <c r="J11" s="15"/>
      <c r="K11" s="15"/>
    </row>
    <row r="12" spans="6:11" ht="12">
      <c r="F12" s="15"/>
      <c r="G12" s="15"/>
      <c r="H12" s="15"/>
      <c r="I12" s="15"/>
      <c r="J12" s="15"/>
      <c r="K12" s="15"/>
    </row>
    <row r="13" spans="6:11" ht="12">
      <c r="F13" s="15"/>
      <c r="G13" s="15"/>
      <c r="H13" s="15"/>
      <c r="I13" s="15"/>
      <c r="J13" s="15"/>
      <c r="K13" s="15"/>
    </row>
  </sheetData>
  <sheetProtection password="CAB3" sheet="1" objects="1" scenarios="1"/>
  <mergeCells count="6">
    <mergeCell ref="F4:J4"/>
    <mergeCell ref="F5:J5"/>
    <mergeCell ref="B4:B5"/>
    <mergeCell ref="E4:E5"/>
    <mergeCell ref="D4:D5"/>
    <mergeCell ref="C4:C5"/>
  </mergeCells>
  <printOptions/>
  <pageMargins left="0.75" right="0.75" top="1" bottom="1" header="0.5" footer="0.5"/>
  <pageSetup horizontalDpi="600" verticalDpi="600" orientation="portrait"/>
  <legacyDrawing r:id="rId1"/>
</worksheet>
</file>

<file path=xl/worksheets/sheet3.xml><?xml version="1.0" encoding="utf-8"?>
<worksheet xmlns="http://schemas.openxmlformats.org/spreadsheetml/2006/main" xmlns:r="http://schemas.openxmlformats.org/officeDocument/2006/relationships">
  <sheetPr codeName="Sheet21"/>
  <dimension ref="A1:N14"/>
  <sheetViews>
    <sheetView workbookViewId="0" topLeftCell="A1">
      <selection activeCell="A1" sqref="A1"/>
    </sheetView>
  </sheetViews>
  <sheetFormatPr defaultColWidth="11.421875" defaultRowHeight="12.75"/>
  <cols>
    <col min="1" max="1" width="5.00390625" style="25" customWidth="1"/>
    <col min="2" max="2" width="40.421875" style="25" customWidth="1"/>
    <col min="3" max="8" width="10.421875" style="25" customWidth="1"/>
    <col min="9" max="16384" width="9.140625" style="25" customWidth="1"/>
  </cols>
  <sheetData>
    <row r="1" spans="1:4" ht="18" customHeight="1">
      <c r="A1" s="114" t="str">
        <f>"Payback Period = "&amp;IF(ISERROR('Cash Flow'!$D$5),0,'Cash Flow'!$D$5)&amp;" years"</f>
        <v>Payback Period = 3 years</v>
      </c>
      <c r="C1" s="112" t="s">
        <v>67</v>
      </c>
      <c r="D1" s="29"/>
    </row>
    <row r="2" spans="1:8" ht="18">
      <c r="A2" s="24" t="s">
        <v>16</v>
      </c>
      <c r="B2" s="24"/>
      <c r="C2" s="75"/>
      <c r="D2" s="76"/>
      <c r="E2" s="76"/>
      <c r="F2" s="76"/>
      <c r="G2" s="76"/>
      <c r="H2" s="77"/>
    </row>
    <row r="3" spans="1:2" ht="9" customHeight="1">
      <c r="A3" s="121">
        <v>1</v>
      </c>
      <c r="B3" s="28"/>
    </row>
    <row r="4" spans="3:13" ht="36">
      <c r="C4" s="95" t="s">
        <v>49</v>
      </c>
      <c r="D4" s="94" t="s">
        <v>68</v>
      </c>
      <c r="E4" s="94" t="s">
        <v>69</v>
      </c>
      <c r="F4" s="94" t="s">
        <v>70</v>
      </c>
      <c r="G4" s="94" t="s">
        <v>71</v>
      </c>
      <c r="H4" s="95" t="s">
        <v>48</v>
      </c>
      <c r="I4" s="139"/>
      <c r="J4" s="139"/>
      <c r="K4" s="139"/>
      <c r="L4" s="139"/>
      <c r="M4" s="139"/>
    </row>
    <row r="5" spans="1:14" ht="12">
      <c r="A5" s="29" t="s">
        <v>98</v>
      </c>
      <c r="C5" s="32"/>
      <c r="D5" s="32"/>
      <c r="E5" s="32"/>
      <c r="F5" s="32"/>
      <c r="G5" s="32"/>
      <c r="H5" s="32"/>
      <c r="I5" s="30"/>
      <c r="J5" s="15"/>
      <c r="K5" s="15"/>
      <c r="L5" s="15"/>
      <c r="M5" s="15"/>
      <c r="N5" s="15"/>
    </row>
    <row r="6" spans="2:13" ht="12.75">
      <c r="B6" s="37" t="s">
        <v>109</v>
      </c>
      <c r="C6" s="38">
        <v>8</v>
      </c>
      <c r="D6" s="38">
        <v>6.7</v>
      </c>
      <c r="E6" s="38">
        <v>5.8</v>
      </c>
      <c r="F6" s="38">
        <v>6.7</v>
      </c>
      <c r="G6" s="38">
        <v>5.8</v>
      </c>
      <c r="H6" s="122"/>
      <c r="I6" s="30" t="s">
        <v>46</v>
      </c>
      <c r="J6" s="15"/>
      <c r="K6" s="15"/>
      <c r="L6" s="15"/>
      <c r="M6" s="15"/>
    </row>
    <row r="7" spans="2:13" ht="12.75">
      <c r="B7" s="37" t="s">
        <v>110</v>
      </c>
      <c r="C7" s="38">
        <v>50</v>
      </c>
      <c r="D7" s="38">
        <v>10</v>
      </c>
      <c r="E7" s="38">
        <v>10</v>
      </c>
      <c r="F7" s="38">
        <v>10</v>
      </c>
      <c r="G7" s="38">
        <v>10</v>
      </c>
      <c r="H7" s="122"/>
      <c r="I7" s="30" t="s">
        <v>107</v>
      </c>
      <c r="J7" s="15"/>
      <c r="K7" s="15"/>
      <c r="L7" s="15"/>
      <c r="M7" s="15"/>
    </row>
    <row r="8" spans="2:13" ht="12.75">
      <c r="B8" s="37" t="s">
        <v>86</v>
      </c>
      <c r="C8" s="40">
        <v>0.143</v>
      </c>
      <c r="D8" s="40">
        <v>0.143</v>
      </c>
      <c r="E8" s="40">
        <v>0.143</v>
      </c>
      <c r="F8" s="40">
        <v>0.143</v>
      </c>
      <c r="G8" s="40">
        <v>0.143</v>
      </c>
      <c r="H8" s="123"/>
      <c r="I8" s="30" t="s">
        <v>108</v>
      </c>
      <c r="J8" s="15"/>
      <c r="K8" s="15"/>
      <c r="L8" s="15"/>
      <c r="M8" s="15"/>
    </row>
    <row r="9" spans="2:13" ht="12.75">
      <c r="B9" s="37" t="s">
        <v>85</v>
      </c>
      <c r="C9" s="38">
        <v>2.3</v>
      </c>
      <c r="D9" s="38">
        <v>2</v>
      </c>
      <c r="E9" s="38">
        <v>2</v>
      </c>
      <c r="F9" s="38">
        <v>2</v>
      </c>
      <c r="G9" s="38">
        <v>2</v>
      </c>
      <c r="H9" s="122"/>
      <c r="I9" s="30" t="s">
        <v>47</v>
      </c>
      <c r="J9" s="15"/>
      <c r="K9" s="15"/>
      <c r="L9" s="15"/>
      <c r="M9" s="15"/>
    </row>
    <row r="10" spans="2:13" ht="12.75">
      <c r="B10" s="37" t="s">
        <v>111</v>
      </c>
      <c r="C10" s="41">
        <v>800</v>
      </c>
      <c r="D10" s="41">
        <v>0</v>
      </c>
      <c r="E10" s="41">
        <v>0</v>
      </c>
      <c r="F10" s="41">
        <v>2000</v>
      </c>
      <c r="G10" s="41">
        <v>2000</v>
      </c>
      <c r="H10" s="124"/>
      <c r="I10" s="30"/>
      <c r="J10" s="15"/>
      <c r="K10" s="15"/>
      <c r="L10" s="15"/>
      <c r="M10" s="15"/>
    </row>
    <row r="11" spans="1:13" ht="12">
      <c r="A11" s="29" t="s">
        <v>97</v>
      </c>
      <c r="I11" s="15"/>
      <c r="J11" s="15"/>
      <c r="K11" s="15"/>
      <c r="L11" s="15"/>
      <c r="M11" s="15"/>
    </row>
    <row r="12" spans="2:13" ht="12">
      <c r="B12" s="36" t="s">
        <v>5</v>
      </c>
      <c r="C12" s="26">
        <v>0.07</v>
      </c>
      <c r="D12" s="26">
        <v>0.07</v>
      </c>
      <c r="E12" s="26">
        <v>0.07</v>
      </c>
      <c r="F12" s="26">
        <v>0.07</v>
      </c>
      <c r="G12" s="26">
        <v>0.07</v>
      </c>
      <c r="H12" s="120"/>
      <c r="I12" s="93" t="s">
        <v>106</v>
      </c>
      <c r="J12" s="15"/>
      <c r="K12" s="15"/>
      <c r="L12" s="15"/>
      <c r="M12" s="15"/>
    </row>
    <row r="13" spans="2:13" ht="12">
      <c r="B13" s="36" t="s">
        <v>82</v>
      </c>
      <c r="C13" s="42">
        <v>0.02</v>
      </c>
      <c r="D13" s="42">
        <v>0.02</v>
      </c>
      <c r="E13" s="42">
        <v>0.02</v>
      </c>
      <c r="F13" s="42">
        <v>0.02</v>
      </c>
      <c r="G13" s="42">
        <v>0.02</v>
      </c>
      <c r="H13" s="125"/>
      <c r="I13" s="30" t="s">
        <v>53</v>
      </c>
      <c r="J13" s="15"/>
      <c r="K13" s="15"/>
      <c r="L13" s="15"/>
      <c r="M13" s="15"/>
    </row>
    <row r="14" spans="9:13" ht="12">
      <c r="I14" s="15"/>
      <c r="J14" s="15"/>
      <c r="K14" s="15"/>
      <c r="L14" s="15"/>
      <c r="M14" s="15"/>
    </row>
  </sheetData>
  <sheetProtection password="CAB3" sheet="1" objects="1" scenarios="1"/>
  <mergeCells count="1">
    <mergeCell ref="I4:M4"/>
  </mergeCells>
  <printOptions/>
  <pageMargins left="0.75" right="0.75" top="1" bottom="1" header="0.5" footer="0.5"/>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Sheet211"/>
  <dimension ref="A1:M45"/>
  <sheetViews>
    <sheetView workbookViewId="0" topLeftCell="A1">
      <selection activeCell="B24" sqref="B24"/>
    </sheetView>
  </sheetViews>
  <sheetFormatPr defaultColWidth="11.421875" defaultRowHeight="12.75"/>
  <cols>
    <col min="1" max="1" width="5.00390625" style="25" customWidth="1"/>
    <col min="2" max="2" width="40.421875" style="25" customWidth="1"/>
    <col min="3" max="3" width="14.421875" style="25" customWidth="1"/>
    <col min="4" max="4" width="17.140625" style="25" customWidth="1"/>
    <col min="5" max="7" width="14.421875" style="25" customWidth="1"/>
    <col min="8" max="8" width="49.00390625" style="25" customWidth="1"/>
    <col min="9" max="16384" width="9.140625" style="25" customWidth="1"/>
  </cols>
  <sheetData>
    <row r="1" spans="1:3" ht="18" customHeight="1">
      <c r="A1" s="114" t="str">
        <f>"Payback Period = "&amp;IF(ISERROR('Cash Flow'!$D$5),0,'Cash Flow'!$D$5)&amp;" years"</f>
        <v>Payback Period = 3 years</v>
      </c>
      <c r="C1" s="112" t="s">
        <v>67</v>
      </c>
    </row>
    <row r="2" spans="1:7" ht="18">
      <c r="A2" s="24" t="s">
        <v>17</v>
      </c>
      <c r="B2" s="24"/>
      <c r="C2" s="72"/>
      <c r="D2" s="73"/>
      <c r="E2" s="73"/>
      <c r="F2" s="73"/>
      <c r="G2" s="74"/>
    </row>
    <row r="3" spans="1:2" ht="10.5" customHeight="1">
      <c r="A3" s="121">
        <v>1</v>
      </c>
      <c r="B3" s="28"/>
    </row>
    <row r="4" spans="3:13" ht="12.75">
      <c r="C4" s="141" t="s">
        <v>26</v>
      </c>
      <c r="D4" s="143" t="s">
        <v>54</v>
      </c>
      <c r="E4" s="141" t="s">
        <v>55</v>
      </c>
      <c r="F4" s="141" t="s">
        <v>56</v>
      </c>
      <c r="G4" s="141" t="s">
        <v>76</v>
      </c>
      <c r="M4" s="15"/>
    </row>
    <row r="5" spans="3:13" ht="18" customHeight="1">
      <c r="C5" s="142"/>
      <c r="D5" s="142"/>
      <c r="E5" s="142"/>
      <c r="F5" s="142"/>
      <c r="G5" s="142"/>
      <c r="H5" s="140"/>
      <c r="I5" s="140"/>
      <c r="J5" s="140"/>
      <c r="K5" s="140"/>
      <c r="L5" s="140"/>
      <c r="M5" s="15"/>
    </row>
    <row r="6" spans="1:13" ht="12.75">
      <c r="A6" s="29" t="s">
        <v>95</v>
      </c>
      <c r="C6" s="32"/>
      <c r="D6" s="32"/>
      <c r="E6" s="32"/>
      <c r="F6" s="32"/>
      <c r="G6" s="32"/>
      <c r="H6" s="30"/>
      <c r="I6" s="15"/>
      <c r="J6" s="15"/>
      <c r="K6" s="15"/>
      <c r="L6" s="15"/>
      <c r="M6" s="15"/>
    </row>
    <row r="7" spans="2:13" ht="12.75">
      <c r="B7" s="25" t="s">
        <v>74</v>
      </c>
      <c r="C7" s="96">
        <v>101742</v>
      </c>
      <c r="D7" s="97">
        <v>33504</v>
      </c>
      <c r="E7" s="97">
        <v>28392</v>
      </c>
      <c r="F7" s="97">
        <v>8214</v>
      </c>
      <c r="G7" s="126"/>
      <c r="H7" s="30" t="s">
        <v>117</v>
      </c>
      <c r="I7" s="15"/>
      <c r="J7" s="15"/>
      <c r="K7" s="15"/>
      <c r="L7" s="15"/>
      <c r="M7" s="15"/>
    </row>
    <row r="8" spans="2:13" ht="12.75">
      <c r="B8" s="25" t="s">
        <v>8</v>
      </c>
      <c r="C8" s="99">
        <v>0.015</v>
      </c>
      <c r="D8" s="99">
        <v>0.005</v>
      </c>
      <c r="E8" s="99">
        <v>0.005</v>
      </c>
      <c r="F8" s="99">
        <v>0.005</v>
      </c>
      <c r="G8" s="127"/>
      <c r="H8" s="93" t="s">
        <v>121</v>
      </c>
      <c r="I8" s="15"/>
      <c r="J8" s="15"/>
      <c r="K8" s="15"/>
      <c r="L8" s="15"/>
      <c r="M8" s="15"/>
    </row>
    <row r="9" spans="2:13" ht="12.75">
      <c r="B9" s="25" t="s">
        <v>9</v>
      </c>
      <c r="C9" s="100">
        <v>0.02</v>
      </c>
      <c r="D9" s="100">
        <v>0.02</v>
      </c>
      <c r="E9" s="100">
        <v>0.02</v>
      </c>
      <c r="F9" s="100">
        <v>0.02</v>
      </c>
      <c r="G9" s="128"/>
      <c r="H9" s="93" t="s">
        <v>120</v>
      </c>
      <c r="I9" s="15"/>
      <c r="J9" s="15"/>
      <c r="K9" s="15"/>
      <c r="L9" s="15"/>
      <c r="M9" s="15"/>
    </row>
    <row r="10" spans="2:13" ht="12.75">
      <c r="B10" s="25" t="s">
        <v>10</v>
      </c>
      <c r="C10" s="99">
        <v>0</v>
      </c>
      <c r="D10" s="99">
        <v>0</v>
      </c>
      <c r="E10" s="99">
        <v>0</v>
      </c>
      <c r="F10" s="99">
        <v>0</v>
      </c>
      <c r="G10" s="127"/>
      <c r="H10" s="30" t="s">
        <v>118</v>
      </c>
      <c r="I10" s="15"/>
      <c r="J10" s="15"/>
      <c r="K10" s="15"/>
      <c r="L10" s="15"/>
      <c r="M10" s="15"/>
    </row>
    <row r="11" spans="2:13" ht="12.75">
      <c r="B11" s="25" t="s">
        <v>11</v>
      </c>
      <c r="C11" s="100">
        <v>0.02</v>
      </c>
      <c r="D11" s="100">
        <v>0.02</v>
      </c>
      <c r="E11" s="100">
        <v>0.02</v>
      </c>
      <c r="F11" s="100">
        <v>0.02</v>
      </c>
      <c r="G11" s="128"/>
      <c r="H11" s="93" t="s">
        <v>119</v>
      </c>
      <c r="I11" s="15"/>
      <c r="J11" s="15"/>
      <c r="K11" s="15"/>
      <c r="L11" s="15"/>
      <c r="M11" s="15"/>
    </row>
    <row r="12" spans="1:13" ht="12.75">
      <c r="A12" s="29" t="s">
        <v>96</v>
      </c>
      <c r="C12" s="101"/>
      <c r="D12" s="102"/>
      <c r="E12" s="101"/>
      <c r="F12" s="101"/>
      <c r="G12" s="101"/>
      <c r="H12" s="15"/>
      <c r="I12" s="15"/>
      <c r="J12" s="15"/>
      <c r="K12" s="15"/>
      <c r="L12" s="15"/>
      <c r="M12" s="15"/>
    </row>
    <row r="13" spans="2:13" ht="12.75">
      <c r="B13" s="25" t="s">
        <v>13</v>
      </c>
      <c r="C13" s="98">
        <v>50</v>
      </c>
      <c r="D13" s="103">
        <v>10</v>
      </c>
      <c r="E13" s="98">
        <v>17.5</v>
      </c>
      <c r="F13" s="98">
        <v>3</v>
      </c>
      <c r="G13" s="129"/>
      <c r="H13" s="30"/>
      <c r="I13" s="15"/>
      <c r="J13" s="15"/>
      <c r="K13" s="15"/>
      <c r="L13" s="15"/>
      <c r="M13" s="15"/>
    </row>
    <row r="14" spans="2:13" ht="12.75">
      <c r="B14" s="33" t="s">
        <v>91</v>
      </c>
      <c r="C14" s="104">
        <v>24</v>
      </c>
      <c r="D14" s="104">
        <v>30</v>
      </c>
      <c r="E14" s="98">
        <v>30</v>
      </c>
      <c r="F14" s="98">
        <v>24</v>
      </c>
      <c r="G14" s="129"/>
      <c r="H14" s="30"/>
      <c r="I14" s="15"/>
      <c r="J14" s="15"/>
      <c r="K14" s="15"/>
      <c r="L14" s="15"/>
      <c r="M14" s="15"/>
    </row>
    <row r="15" spans="2:13" ht="12.75">
      <c r="B15" s="33" t="s">
        <v>92</v>
      </c>
      <c r="C15" s="105">
        <v>0.98</v>
      </c>
      <c r="D15" s="105">
        <v>0.98</v>
      </c>
      <c r="E15" s="105">
        <v>0.98</v>
      </c>
      <c r="F15" s="105">
        <v>0.98</v>
      </c>
      <c r="G15" s="130"/>
      <c r="H15" s="93" t="s">
        <v>44</v>
      </c>
      <c r="I15" s="15"/>
      <c r="J15" s="15"/>
      <c r="K15" s="15"/>
      <c r="L15" s="15"/>
      <c r="M15" s="15"/>
    </row>
    <row r="16" spans="2:13" ht="12.75">
      <c r="B16" s="33" t="s">
        <v>93</v>
      </c>
      <c r="C16" s="106">
        <v>0</v>
      </c>
      <c r="D16" s="106">
        <v>0</v>
      </c>
      <c r="E16" s="106">
        <v>0</v>
      </c>
      <c r="F16" s="106">
        <v>0</v>
      </c>
      <c r="G16" s="131"/>
      <c r="H16" s="93" t="s">
        <v>112</v>
      </c>
      <c r="I16" s="15"/>
      <c r="J16" s="15"/>
      <c r="K16" s="15"/>
      <c r="L16" s="15"/>
      <c r="M16" s="15"/>
    </row>
    <row r="17" spans="2:13" ht="12.75">
      <c r="B17" s="33" t="s">
        <v>94</v>
      </c>
      <c r="C17" s="106">
        <v>0.1</v>
      </c>
      <c r="D17" s="106">
        <v>0.1</v>
      </c>
      <c r="E17" s="106">
        <v>0.1</v>
      </c>
      <c r="F17" s="106">
        <v>0.1</v>
      </c>
      <c r="G17" s="131"/>
      <c r="H17" s="30" t="s">
        <v>45</v>
      </c>
      <c r="I17" s="15"/>
      <c r="J17" s="15"/>
      <c r="K17" s="15"/>
      <c r="L17" s="15"/>
      <c r="M17" s="15"/>
    </row>
    <row r="18" spans="1:13" ht="12.75">
      <c r="A18" s="34" t="s">
        <v>12</v>
      </c>
      <c r="B18" s="33"/>
      <c r="C18" s="115"/>
      <c r="D18" s="117"/>
      <c r="E18" s="117"/>
      <c r="F18" s="117"/>
      <c r="G18" s="117"/>
      <c r="H18" s="30"/>
      <c r="I18" s="15"/>
      <c r="J18" s="15"/>
      <c r="K18" s="15"/>
      <c r="L18" s="15"/>
      <c r="M18" s="15"/>
    </row>
    <row r="19" spans="1:13" ht="12">
      <c r="A19" s="116" t="s">
        <v>103</v>
      </c>
      <c r="C19" s="101"/>
      <c r="D19" s="102"/>
      <c r="E19" s="101"/>
      <c r="F19" s="101"/>
      <c r="G19" s="101"/>
      <c r="H19" s="15"/>
      <c r="I19" s="15"/>
      <c r="J19" s="15"/>
      <c r="K19" s="15"/>
      <c r="L19" s="15"/>
      <c r="M19" s="15"/>
    </row>
    <row r="20" spans="2:13" ht="12">
      <c r="B20" s="35" t="s">
        <v>102</v>
      </c>
      <c r="C20" s="39">
        <v>0</v>
      </c>
      <c r="D20" s="107">
        <v>0</v>
      </c>
      <c r="E20" s="39">
        <v>0</v>
      </c>
      <c r="F20" s="39">
        <v>0</v>
      </c>
      <c r="G20" s="132"/>
      <c r="H20" s="30"/>
      <c r="I20" s="15"/>
      <c r="J20" s="15"/>
      <c r="K20" s="15"/>
      <c r="L20" s="15"/>
      <c r="M20" s="15"/>
    </row>
    <row r="21" spans="2:13" ht="12">
      <c r="B21" s="35">
        <v>2</v>
      </c>
      <c r="C21" s="39">
        <v>0</v>
      </c>
      <c r="D21" s="107">
        <v>0</v>
      </c>
      <c r="E21" s="39">
        <v>0</v>
      </c>
      <c r="F21" s="39">
        <v>0</v>
      </c>
      <c r="G21" s="132"/>
      <c r="H21" s="30"/>
      <c r="I21" s="15"/>
      <c r="J21" s="15"/>
      <c r="K21" s="15"/>
      <c r="L21" s="15"/>
      <c r="M21" s="15"/>
    </row>
    <row r="22" spans="2:13" ht="12">
      <c r="B22" s="35">
        <v>3</v>
      </c>
      <c r="C22" s="39">
        <v>0</v>
      </c>
      <c r="D22" s="107">
        <v>0</v>
      </c>
      <c r="E22" s="39">
        <v>0</v>
      </c>
      <c r="F22" s="39">
        <v>0</v>
      </c>
      <c r="G22" s="132"/>
      <c r="H22" s="30"/>
      <c r="I22" s="15"/>
      <c r="J22" s="15"/>
      <c r="K22" s="15"/>
      <c r="L22" s="15"/>
      <c r="M22" s="15"/>
    </row>
    <row r="23" spans="2:13" ht="12">
      <c r="B23" s="35">
        <v>4</v>
      </c>
      <c r="C23" s="39">
        <v>0</v>
      </c>
      <c r="D23" s="107">
        <f>0.25</f>
        <v>0.25</v>
      </c>
      <c r="E23" s="39">
        <v>0.7</v>
      </c>
      <c r="F23" s="39">
        <v>0.16</v>
      </c>
      <c r="G23" s="132"/>
      <c r="H23" s="30"/>
      <c r="I23" s="15"/>
      <c r="J23" s="15"/>
      <c r="K23" s="15"/>
      <c r="L23" s="15"/>
      <c r="M23" s="15"/>
    </row>
    <row r="24" spans="2:13" ht="12">
      <c r="B24" s="35">
        <v>5</v>
      </c>
      <c r="C24" s="39">
        <v>4.4</v>
      </c>
      <c r="D24" s="107">
        <f>0.8</f>
        <v>0.8</v>
      </c>
      <c r="E24" s="39">
        <v>1.3</v>
      </c>
      <c r="F24" s="39">
        <v>0.39</v>
      </c>
      <c r="G24" s="132"/>
      <c r="H24" s="30"/>
      <c r="I24" s="15"/>
      <c r="J24" s="15"/>
      <c r="K24" s="15"/>
      <c r="L24" s="15"/>
      <c r="M24" s="15"/>
    </row>
    <row r="25" spans="2:13" ht="12">
      <c r="B25" s="35">
        <v>6</v>
      </c>
      <c r="C25" s="39">
        <v>8.9</v>
      </c>
      <c r="D25" s="107">
        <v>1.65</v>
      </c>
      <c r="E25" s="39">
        <v>2.3</v>
      </c>
      <c r="F25" s="39">
        <v>0.72</v>
      </c>
      <c r="G25" s="132"/>
      <c r="H25" s="30"/>
      <c r="I25" s="15"/>
      <c r="J25" s="15"/>
      <c r="K25" s="15"/>
      <c r="L25" s="15"/>
      <c r="M25" s="15"/>
    </row>
    <row r="26" spans="2:13" ht="12">
      <c r="B26" s="35">
        <v>7</v>
      </c>
      <c r="C26" s="39">
        <v>15.6</v>
      </c>
      <c r="D26" s="107">
        <v>2.55</v>
      </c>
      <c r="E26" s="39">
        <v>3.4</v>
      </c>
      <c r="F26" s="39">
        <v>0.99</v>
      </c>
      <c r="G26" s="132"/>
      <c r="H26" s="30"/>
      <c r="I26" s="15"/>
      <c r="J26" s="15"/>
      <c r="K26" s="15"/>
      <c r="L26" s="15"/>
      <c r="M26" s="15"/>
    </row>
    <row r="27" spans="2:13" ht="12">
      <c r="B27" s="35">
        <v>8</v>
      </c>
      <c r="C27" s="39">
        <v>24.4</v>
      </c>
      <c r="D27" s="107">
        <v>3.65</v>
      </c>
      <c r="E27" s="39">
        <v>5.1</v>
      </c>
      <c r="F27" s="39">
        <v>1.41</v>
      </c>
      <c r="G27" s="132"/>
      <c r="H27" s="30"/>
      <c r="I27" s="15"/>
      <c r="J27" s="15"/>
      <c r="K27" s="15"/>
      <c r="L27" s="15"/>
      <c r="M27" s="15"/>
    </row>
    <row r="28" spans="2:13" ht="12">
      <c r="B28" s="35">
        <v>9</v>
      </c>
      <c r="C28" s="39">
        <v>33</v>
      </c>
      <c r="D28" s="107">
        <v>4.85</v>
      </c>
      <c r="E28" s="39">
        <v>7.4</v>
      </c>
      <c r="F28" s="39">
        <v>1.86</v>
      </c>
      <c r="G28" s="132"/>
      <c r="H28" s="30"/>
      <c r="I28" s="15"/>
      <c r="J28" s="15"/>
      <c r="K28" s="15"/>
      <c r="L28" s="15"/>
      <c r="M28" s="15"/>
    </row>
    <row r="29" spans="2:13" ht="12">
      <c r="B29" s="35">
        <v>10</v>
      </c>
      <c r="C29" s="39">
        <v>44</v>
      </c>
      <c r="D29" s="107">
        <v>6.15</v>
      </c>
      <c r="E29" s="39">
        <v>10.3</v>
      </c>
      <c r="F29" s="39">
        <v>2.52</v>
      </c>
      <c r="G29" s="132"/>
      <c r="H29" s="30"/>
      <c r="I29" s="15"/>
      <c r="J29" s="15"/>
      <c r="K29" s="15"/>
      <c r="L29" s="15"/>
      <c r="M29" s="15"/>
    </row>
    <row r="30" spans="2:13" ht="12">
      <c r="B30" s="35">
        <v>11</v>
      </c>
      <c r="C30" s="39">
        <v>50</v>
      </c>
      <c r="D30" s="107">
        <v>7.5</v>
      </c>
      <c r="E30" s="39">
        <v>13.7</v>
      </c>
      <c r="F30" s="39">
        <v>3.12</v>
      </c>
      <c r="G30" s="132"/>
      <c r="H30" s="30"/>
      <c r="I30" s="15"/>
      <c r="J30" s="15"/>
      <c r="K30" s="15"/>
      <c r="L30" s="15"/>
      <c r="M30" s="15"/>
    </row>
    <row r="31" spans="2:13" ht="12">
      <c r="B31" s="35">
        <v>12</v>
      </c>
      <c r="C31" s="39">
        <v>55</v>
      </c>
      <c r="D31" s="107">
        <v>9</v>
      </c>
      <c r="E31" s="39">
        <v>17.5</v>
      </c>
      <c r="F31" s="39">
        <v>3.39</v>
      </c>
      <c r="G31" s="132"/>
      <c r="H31" s="30"/>
      <c r="I31" s="15"/>
      <c r="J31" s="15"/>
      <c r="K31" s="15"/>
      <c r="L31" s="15"/>
      <c r="M31" s="15"/>
    </row>
    <row r="32" spans="2:13" ht="12">
      <c r="B32" s="35">
        <v>13</v>
      </c>
      <c r="C32" s="39">
        <v>58</v>
      </c>
      <c r="D32" s="107">
        <v>9.5</v>
      </c>
      <c r="E32" s="39">
        <v>17.5</v>
      </c>
      <c r="F32" s="39">
        <v>3.54</v>
      </c>
      <c r="G32" s="132"/>
      <c r="H32" s="30"/>
      <c r="I32" s="15"/>
      <c r="J32" s="15"/>
      <c r="K32" s="15"/>
      <c r="L32" s="15"/>
      <c r="M32" s="15"/>
    </row>
    <row r="33" spans="2:13" ht="12">
      <c r="B33" s="35">
        <v>14</v>
      </c>
      <c r="C33" s="39">
        <v>62</v>
      </c>
      <c r="D33" s="107">
        <v>10</v>
      </c>
      <c r="E33" s="39">
        <v>17.5</v>
      </c>
      <c r="F33" s="39">
        <v>3.6</v>
      </c>
      <c r="G33" s="132"/>
      <c r="H33" s="30"/>
      <c r="I33" s="15"/>
      <c r="J33" s="15"/>
      <c r="K33" s="15"/>
      <c r="L33" s="15"/>
      <c r="M33" s="15"/>
    </row>
    <row r="34" spans="2:13" ht="12">
      <c r="B34" s="35">
        <v>15</v>
      </c>
      <c r="C34" s="39">
        <v>64</v>
      </c>
      <c r="D34" s="107">
        <v>8</v>
      </c>
      <c r="E34" s="39">
        <v>17.1</v>
      </c>
      <c r="F34" s="39">
        <v>3.54</v>
      </c>
      <c r="G34" s="132"/>
      <c r="H34" s="30"/>
      <c r="I34" s="15"/>
      <c r="J34" s="15"/>
      <c r="K34" s="15"/>
      <c r="L34" s="15"/>
      <c r="M34" s="15"/>
    </row>
    <row r="35" spans="2:13" ht="12">
      <c r="B35" s="35">
        <v>16</v>
      </c>
      <c r="C35" s="39">
        <v>66</v>
      </c>
      <c r="D35" s="107">
        <v>6</v>
      </c>
      <c r="E35" s="39">
        <v>6.1</v>
      </c>
      <c r="F35" s="39">
        <v>3.48</v>
      </c>
      <c r="G35" s="132"/>
      <c r="H35" s="30"/>
      <c r="I35" s="15"/>
      <c r="J35" s="15"/>
      <c r="K35" s="15"/>
      <c r="L35" s="15"/>
      <c r="M35" s="15"/>
    </row>
    <row r="36" spans="2:13" ht="12">
      <c r="B36" s="35">
        <v>17</v>
      </c>
      <c r="C36" s="39">
        <v>65</v>
      </c>
      <c r="D36" s="107">
        <v>2.7</v>
      </c>
      <c r="E36" s="39">
        <v>5.4</v>
      </c>
      <c r="F36" s="39">
        <v>3.33</v>
      </c>
      <c r="G36" s="132"/>
      <c r="H36" s="30"/>
      <c r="I36" s="15"/>
      <c r="J36" s="15"/>
      <c r="K36" s="15"/>
      <c r="L36" s="15"/>
      <c r="M36" s="15"/>
    </row>
    <row r="37" spans="2:13" ht="12">
      <c r="B37" s="35">
        <v>18</v>
      </c>
      <c r="C37" s="39">
        <v>64</v>
      </c>
      <c r="D37" s="107">
        <v>3</v>
      </c>
      <c r="E37" s="39">
        <v>5.4</v>
      </c>
      <c r="F37" s="39">
        <v>3.27</v>
      </c>
      <c r="G37" s="132"/>
      <c r="H37" s="30"/>
      <c r="I37" s="15"/>
      <c r="J37" s="15"/>
      <c r="K37" s="15"/>
      <c r="L37" s="15"/>
      <c r="M37" s="15"/>
    </row>
    <row r="38" spans="2:13" ht="12">
      <c r="B38" s="35">
        <v>19</v>
      </c>
      <c r="C38" s="39">
        <v>64</v>
      </c>
      <c r="D38" s="107">
        <v>3</v>
      </c>
      <c r="E38" s="39">
        <v>5.4</v>
      </c>
      <c r="F38" s="39">
        <v>3.21</v>
      </c>
      <c r="G38" s="132"/>
      <c r="H38" s="30"/>
      <c r="I38" s="15"/>
      <c r="J38" s="15"/>
      <c r="K38" s="15"/>
      <c r="L38" s="15"/>
      <c r="M38" s="15"/>
    </row>
    <row r="39" spans="2:13" ht="12">
      <c r="B39" s="35">
        <v>20</v>
      </c>
      <c r="C39" s="39">
        <v>64</v>
      </c>
      <c r="D39" s="107">
        <v>3</v>
      </c>
      <c r="E39" s="39">
        <v>5.4</v>
      </c>
      <c r="F39" s="39">
        <v>3.12</v>
      </c>
      <c r="G39" s="132"/>
      <c r="H39" s="30"/>
      <c r="I39" s="15"/>
      <c r="J39" s="15"/>
      <c r="K39" s="15"/>
      <c r="L39" s="15"/>
      <c r="M39" s="15"/>
    </row>
    <row r="40" spans="2:13" ht="12">
      <c r="B40" s="35">
        <v>21</v>
      </c>
      <c r="C40" s="39">
        <v>63</v>
      </c>
      <c r="D40" s="107">
        <v>3</v>
      </c>
      <c r="E40" s="39">
        <v>5.4</v>
      </c>
      <c r="F40" s="39">
        <v>3.12</v>
      </c>
      <c r="G40" s="132"/>
      <c r="H40" s="30"/>
      <c r="I40" s="15"/>
      <c r="J40" s="15"/>
      <c r="K40" s="15"/>
      <c r="L40" s="15"/>
      <c r="M40" s="15"/>
    </row>
    <row r="41" spans="2:13" ht="12">
      <c r="B41" s="35">
        <v>22</v>
      </c>
      <c r="C41" s="39">
        <v>63</v>
      </c>
      <c r="D41" s="107">
        <v>3</v>
      </c>
      <c r="E41" s="39">
        <v>5.4</v>
      </c>
      <c r="F41" s="39">
        <v>3.12</v>
      </c>
      <c r="G41" s="132"/>
      <c r="H41" s="30"/>
      <c r="I41" s="15"/>
      <c r="J41" s="15"/>
      <c r="K41" s="15"/>
      <c r="L41" s="15"/>
      <c r="M41" s="15"/>
    </row>
    <row r="42" spans="2:13" ht="12">
      <c r="B42" s="35">
        <v>23</v>
      </c>
      <c r="C42" s="39">
        <v>63</v>
      </c>
      <c r="D42" s="107">
        <v>3</v>
      </c>
      <c r="E42" s="39">
        <v>5.4</v>
      </c>
      <c r="F42" s="39">
        <v>3.12</v>
      </c>
      <c r="G42" s="132"/>
      <c r="H42" s="30"/>
      <c r="I42" s="15"/>
      <c r="J42" s="15"/>
      <c r="K42" s="15"/>
      <c r="L42" s="15"/>
      <c r="M42" s="15"/>
    </row>
    <row r="43" spans="2:13" ht="12">
      <c r="B43" s="35">
        <v>24</v>
      </c>
      <c r="C43" s="39">
        <v>63</v>
      </c>
      <c r="D43" s="107">
        <v>3</v>
      </c>
      <c r="E43" s="39">
        <v>5.4</v>
      </c>
      <c r="F43" s="39">
        <v>3.12</v>
      </c>
      <c r="G43" s="132"/>
      <c r="H43" s="30"/>
      <c r="I43" s="15"/>
      <c r="J43" s="15"/>
      <c r="K43" s="15"/>
      <c r="L43" s="15"/>
      <c r="M43" s="15"/>
    </row>
    <row r="44" spans="2:13" ht="12">
      <c r="B44" s="35">
        <v>25</v>
      </c>
      <c r="C44" s="39">
        <v>63</v>
      </c>
      <c r="D44" s="107">
        <v>3</v>
      </c>
      <c r="E44" s="39">
        <v>5.4</v>
      </c>
      <c r="F44" s="39">
        <v>3.12</v>
      </c>
      <c r="G44" s="132"/>
      <c r="H44" s="30"/>
      <c r="I44" s="15"/>
      <c r="J44" s="15"/>
      <c r="K44" s="15"/>
      <c r="L44" s="15"/>
      <c r="M44" s="15"/>
    </row>
    <row r="45" spans="8:13" ht="12">
      <c r="H45" s="15"/>
      <c r="I45" s="15"/>
      <c r="J45" s="15"/>
      <c r="K45" s="15"/>
      <c r="L45" s="15"/>
      <c r="M45" s="15"/>
    </row>
  </sheetData>
  <sheetProtection password="CAB3" sheet="1" objects="1" scenarios="1"/>
  <mergeCells count="6">
    <mergeCell ref="H5:L5"/>
    <mergeCell ref="C4:C5"/>
    <mergeCell ref="D4:D5"/>
    <mergeCell ref="E4:E5"/>
    <mergeCell ref="G4:G5"/>
    <mergeCell ref="F4:F5"/>
  </mergeCells>
  <printOptions/>
  <pageMargins left="0.49" right="0.43" top="1" bottom="1" header="0.5" footer="0.5"/>
  <pageSetup horizontalDpi="600" verticalDpi="600" orientation="portrait" scale="65"/>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C3:AH46"/>
  <sheetViews>
    <sheetView workbookViewId="0" topLeftCell="A1">
      <selection activeCell="D5" sqref="D5"/>
    </sheetView>
  </sheetViews>
  <sheetFormatPr defaultColWidth="11.421875" defaultRowHeight="12.75"/>
  <cols>
    <col min="1" max="1" width="8.8515625" style="0" customWidth="1"/>
    <col min="2" max="2" width="2.140625" style="0" customWidth="1"/>
    <col min="3" max="3" width="41.421875" style="0" customWidth="1"/>
    <col min="4" max="6" width="10.28125" style="0" customWidth="1"/>
    <col min="7" max="35" width="10.421875" style="0" customWidth="1"/>
    <col min="36" max="16384" width="8.8515625" style="0" customWidth="1"/>
  </cols>
  <sheetData>
    <row r="3" ht="12">
      <c r="C3" s="71" t="s">
        <v>29</v>
      </c>
    </row>
    <row r="5" spans="3:5" ht="12">
      <c r="C5" s="82" t="s">
        <v>40</v>
      </c>
      <c r="D5">
        <f>spb(D44:AH44)</f>
        <v>3</v>
      </c>
      <c r="E5" s="85" t="s">
        <v>113</v>
      </c>
    </row>
    <row r="6" spans="3:5" ht="12">
      <c r="C6" s="82" t="s">
        <v>41</v>
      </c>
      <c r="D6" s="6">
        <f>IRR(D44:AH44,0)</f>
        <v>0.3612163970147935</v>
      </c>
      <c r="E6" s="86" t="s">
        <v>43</v>
      </c>
    </row>
    <row r="7" spans="3:5" ht="12">
      <c r="C7" s="82" t="s">
        <v>42</v>
      </c>
      <c r="D7" s="83">
        <f>NPV(D18*(1-D19),D44:AH44)</f>
        <v>69031.36132448363</v>
      </c>
      <c r="E7" s="85" t="s">
        <v>114</v>
      </c>
    </row>
    <row r="9" ht="12">
      <c r="C9" s="71" t="s">
        <v>30</v>
      </c>
    </row>
    <row r="11" spans="3:4" ht="12">
      <c r="C11" t="s">
        <v>100</v>
      </c>
      <c r="D11" s="3">
        <f>Assumptions!E41</f>
        <v>151076.62515638096</v>
      </c>
    </row>
    <row r="12" spans="3:4" ht="12">
      <c r="C12" t="s">
        <v>5</v>
      </c>
      <c r="D12" s="2">
        <f>Assumptions!E21</f>
        <v>0.07</v>
      </c>
    </row>
    <row r="13" spans="3:4" ht="12">
      <c r="C13" t="s">
        <v>82</v>
      </c>
      <c r="D13" s="7">
        <f>Assumptions!E22</f>
        <v>0.02</v>
      </c>
    </row>
    <row r="15" spans="3:4" ht="12">
      <c r="C15" t="s">
        <v>38</v>
      </c>
      <c r="D15" s="4">
        <f>Assumptions!E27</f>
        <v>101742</v>
      </c>
    </row>
    <row r="16" spans="3:4" ht="12">
      <c r="C16" t="s">
        <v>6</v>
      </c>
      <c r="D16" s="7">
        <f>Assumptions!E7</f>
        <v>0.1</v>
      </c>
    </row>
    <row r="17" spans="3:4" ht="12">
      <c r="C17" t="s">
        <v>80</v>
      </c>
      <c r="D17">
        <f>Assumptions!E10</f>
        <v>30</v>
      </c>
    </row>
    <row r="18" spans="3:4" ht="12">
      <c r="C18" t="s">
        <v>78</v>
      </c>
      <c r="D18" s="7">
        <f>Assumptions!E8</f>
        <v>0.065</v>
      </c>
    </row>
    <row r="19" spans="3:4" ht="12">
      <c r="C19" t="s">
        <v>7</v>
      </c>
      <c r="D19" s="7">
        <f>Assumptions!E9</f>
        <v>0.3</v>
      </c>
    </row>
    <row r="21" spans="3:4" ht="12">
      <c r="C21" t="s">
        <v>14</v>
      </c>
      <c r="D21" s="2">
        <f>Assumptions!E28</f>
        <v>0.015</v>
      </c>
    </row>
    <row r="22" spans="3:4" ht="12">
      <c r="C22" t="s">
        <v>9</v>
      </c>
      <c r="D22" s="7">
        <f>Assumptions!E29</f>
        <v>0.02</v>
      </c>
    </row>
    <row r="23" spans="3:4" ht="12">
      <c r="C23" t="s">
        <v>13</v>
      </c>
      <c r="D23" s="3">
        <f>Assumptions!E33</f>
        <v>50</v>
      </c>
    </row>
    <row r="24" spans="3:4" ht="12">
      <c r="C24" t="s">
        <v>15</v>
      </c>
      <c r="D24" s="2">
        <f>Assumptions!E30</f>
        <v>0</v>
      </c>
    </row>
    <row r="25" spans="3:4" ht="12">
      <c r="C25" t="s">
        <v>11</v>
      </c>
      <c r="D25" s="7">
        <f>Assumptions!E31</f>
        <v>0.02</v>
      </c>
    </row>
    <row r="27" ht="12">
      <c r="C27" s="71" t="s">
        <v>1</v>
      </c>
    </row>
    <row r="28" ht="12">
      <c r="C28" s="8"/>
    </row>
    <row r="29" spans="4:34" ht="12">
      <c r="D29" s="111">
        <v>0</v>
      </c>
      <c r="E29" s="111">
        <v>1</v>
      </c>
      <c r="F29" s="111">
        <v>2</v>
      </c>
      <c r="G29" s="111">
        <v>3</v>
      </c>
      <c r="H29" s="111">
        <v>4</v>
      </c>
      <c r="I29" s="111">
        <v>5</v>
      </c>
      <c r="J29" s="111">
        <v>6</v>
      </c>
      <c r="K29" s="111">
        <v>7</v>
      </c>
      <c r="L29" s="111">
        <v>8</v>
      </c>
      <c r="M29" s="111">
        <v>9</v>
      </c>
      <c r="N29" s="111">
        <v>10</v>
      </c>
      <c r="O29" s="111">
        <v>11</v>
      </c>
      <c r="P29" s="111">
        <v>12</v>
      </c>
      <c r="Q29" s="111">
        <v>13</v>
      </c>
      <c r="R29" s="111">
        <v>14</v>
      </c>
      <c r="S29" s="111">
        <v>15</v>
      </c>
      <c r="T29" s="111">
        <v>16</v>
      </c>
      <c r="U29" s="111">
        <v>17</v>
      </c>
      <c r="V29" s="111">
        <v>18</v>
      </c>
      <c r="W29" s="111">
        <v>19</v>
      </c>
      <c r="X29" s="111">
        <v>20</v>
      </c>
      <c r="Y29" s="111">
        <v>21</v>
      </c>
      <c r="Z29" s="111">
        <v>22</v>
      </c>
      <c r="AA29" s="111">
        <v>23</v>
      </c>
      <c r="AB29" s="111">
        <v>24</v>
      </c>
      <c r="AC29" s="111">
        <v>25</v>
      </c>
      <c r="AD29" s="111">
        <v>26</v>
      </c>
      <c r="AE29" s="111">
        <v>27</v>
      </c>
      <c r="AF29" s="111">
        <v>28</v>
      </c>
      <c r="AG29" s="111">
        <v>29</v>
      </c>
      <c r="AH29" s="111">
        <v>30</v>
      </c>
    </row>
    <row r="30" ht="15">
      <c r="C30" s="9" t="s">
        <v>99</v>
      </c>
    </row>
    <row r="31" spans="3:34" ht="12">
      <c r="C31" s="110" t="s">
        <v>62</v>
      </c>
      <c r="D31" s="10"/>
      <c r="E31" s="11">
        <f>$D$11</f>
        <v>151076.62515638096</v>
      </c>
      <c r="F31" s="11">
        <f aca="true" t="shared" si="0" ref="F31:AH31">$D$11</f>
        <v>151076.62515638096</v>
      </c>
      <c r="G31" s="11">
        <f t="shared" si="0"/>
        <v>151076.62515638096</v>
      </c>
      <c r="H31" s="11">
        <f t="shared" si="0"/>
        <v>151076.62515638096</v>
      </c>
      <c r="I31" s="11">
        <f t="shared" si="0"/>
        <v>151076.62515638096</v>
      </c>
      <c r="J31" s="11">
        <f t="shared" si="0"/>
        <v>151076.62515638096</v>
      </c>
      <c r="K31" s="11">
        <f t="shared" si="0"/>
        <v>151076.62515638096</v>
      </c>
      <c r="L31" s="11">
        <f t="shared" si="0"/>
        <v>151076.62515638096</v>
      </c>
      <c r="M31" s="11">
        <f t="shared" si="0"/>
        <v>151076.62515638096</v>
      </c>
      <c r="N31" s="11">
        <f t="shared" si="0"/>
        <v>151076.62515638096</v>
      </c>
      <c r="O31" s="11">
        <f t="shared" si="0"/>
        <v>151076.62515638096</v>
      </c>
      <c r="P31" s="11">
        <f t="shared" si="0"/>
        <v>151076.62515638096</v>
      </c>
      <c r="Q31" s="11">
        <f t="shared" si="0"/>
        <v>151076.62515638096</v>
      </c>
      <c r="R31" s="11">
        <f t="shared" si="0"/>
        <v>151076.62515638096</v>
      </c>
      <c r="S31" s="11">
        <f t="shared" si="0"/>
        <v>151076.62515638096</v>
      </c>
      <c r="T31" s="11">
        <f t="shared" si="0"/>
        <v>151076.62515638096</v>
      </c>
      <c r="U31" s="11">
        <f t="shared" si="0"/>
        <v>151076.62515638096</v>
      </c>
      <c r="V31" s="11">
        <f t="shared" si="0"/>
        <v>151076.62515638096</v>
      </c>
      <c r="W31" s="11">
        <f t="shared" si="0"/>
        <v>151076.62515638096</v>
      </c>
      <c r="X31" s="11">
        <f t="shared" si="0"/>
        <v>151076.62515638096</v>
      </c>
      <c r="Y31" s="11">
        <f t="shared" si="0"/>
        <v>151076.62515638096</v>
      </c>
      <c r="Z31" s="11">
        <f t="shared" si="0"/>
        <v>151076.62515638096</v>
      </c>
      <c r="AA31" s="11">
        <f t="shared" si="0"/>
        <v>151076.62515638096</v>
      </c>
      <c r="AB31" s="11">
        <f t="shared" si="0"/>
        <v>151076.62515638096</v>
      </c>
      <c r="AC31" s="11">
        <f t="shared" si="0"/>
        <v>151076.62515638096</v>
      </c>
      <c r="AD31" s="11">
        <f t="shared" si="0"/>
        <v>151076.62515638096</v>
      </c>
      <c r="AE31" s="11">
        <f t="shared" si="0"/>
        <v>151076.62515638096</v>
      </c>
      <c r="AF31" s="11">
        <f t="shared" si="0"/>
        <v>151076.62515638096</v>
      </c>
      <c r="AG31" s="11">
        <f t="shared" si="0"/>
        <v>151076.62515638096</v>
      </c>
      <c r="AH31" s="11">
        <f t="shared" si="0"/>
        <v>151076.62515638096</v>
      </c>
    </row>
    <row r="32" spans="3:34" ht="12">
      <c r="C32" s="110" t="s">
        <v>63</v>
      </c>
      <c r="D32" s="10"/>
      <c r="E32" s="12">
        <f aca="true" t="shared" si="1" ref="E32:AH32">$D$12*(1+$D$13)^E$29</f>
        <v>0.0714</v>
      </c>
      <c r="F32" s="12">
        <f t="shared" si="1"/>
        <v>0.072828</v>
      </c>
      <c r="G32" s="12">
        <f t="shared" si="1"/>
        <v>0.07428456</v>
      </c>
      <c r="H32" s="12">
        <f t="shared" si="1"/>
        <v>0.0757702512</v>
      </c>
      <c r="I32" s="12">
        <f t="shared" si="1"/>
        <v>0.07728565622400001</v>
      </c>
      <c r="J32" s="12">
        <f t="shared" si="1"/>
        <v>0.07883136934848001</v>
      </c>
      <c r="K32" s="12">
        <f t="shared" si="1"/>
        <v>0.0804079967354496</v>
      </c>
      <c r="L32" s="12">
        <f t="shared" si="1"/>
        <v>0.08201615667015859</v>
      </c>
      <c r="M32" s="12">
        <f t="shared" si="1"/>
        <v>0.08365647980356176</v>
      </c>
      <c r="N32" s="12">
        <f t="shared" si="1"/>
        <v>0.08532960939963301</v>
      </c>
      <c r="O32" s="12">
        <f t="shared" si="1"/>
        <v>0.08703620158762565</v>
      </c>
      <c r="P32" s="12">
        <f t="shared" si="1"/>
        <v>0.08877692561937818</v>
      </c>
      <c r="Q32" s="12">
        <f t="shared" si="1"/>
        <v>0.09055246413176574</v>
      </c>
      <c r="R32" s="12">
        <f t="shared" si="1"/>
        <v>0.09236351341440106</v>
      </c>
      <c r="S32" s="12">
        <f t="shared" si="1"/>
        <v>0.09421078368268905</v>
      </c>
      <c r="T32" s="12">
        <f t="shared" si="1"/>
        <v>0.09609499935634286</v>
      </c>
      <c r="U32" s="12">
        <f t="shared" si="1"/>
        <v>0.09801689934346972</v>
      </c>
      <c r="V32" s="12">
        <f t="shared" si="1"/>
        <v>0.0999772373303391</v>
      </c>
      <c r="W32" s="12">
        <f t="shared" si="1"/>
        <v>0.10197678207694588</v>
      </c>
      <c r="X32" s="12">
        <f t="shared" si="1"/>
        <v>0.10401631771848481</v>
      </c>
      <c r="Y32" s="12">
        <f t="shared" si="1"/>
        <v>0.10609664407285449</v>
      </c>
      <c r="Z32" s="12">
        <f t="shared" si="1"/>
        <v>0.10821857695431158</v>
      </c>
      <c r="AA32" s="12">
        <f t="shared" si="1"/>
        <v>0.1103829484933978</v>
      </c>
      <c r="AB32" s="12">
        <f t="shared" si="1"/>
        <v>0.11259060746326577</v>
      </c>
      <c r="AC32" s="12">
        <f t="shared" si="1"/>
        <v>0.11484241961253108</v>
      </c>
      <c r="AD32" s="12">
        <f t="shared" si="1"/>
        <v>0.11713926800478171</v>
      </c>
      <c r="AE32" s="12">
        <f t="shared" si="1"/>
        <v>0.11948205336487733</v>
      </c>
      <c r="AF32" s="12">
        <f t="shared" si="1"/>
        <v>0.1218716944321749</v>
      </c>
      <c r="AG32" s="12">
        <f t="shared" si="1"/>
        <v>0.12430912832081838</v>
      </c>
      <c r="AH32" s="12">
        <f t="shared" si="1"/>
        <v>0.12679531088723475</v>
      </c>
    </row>
    <row r="33" spans="3:34" ht="12">
      <c r="C33" s="108" t="s">
        <v>64</v>
      </c>
      <c r="D33" s="10"/>
      <c r="E33" s="13">
        <f>E32*E31</f>
        <v>10786.871036165601</v>
      </c>
      <c r="F33" s="13">
        <f aca="true" t="shared" si="2" ref="F33:AH33">F32*F31</f>
        <v>11002.608456888913</v>
      </c>
      <c r="G33" s="13">
        <f t="shared" si="2"/>
        <v>11222.66062602669</v>
      </c>
      <c r="H33" s="13">
        <f t="shared" si="2"/>
        <v>11447.113838547224</v>
      </c>
      <c r="I33" s="13">
        <f t="shared" si="2"/>
        <v>11676.05611531817</v>
      </c>
      <c r="J33" s="13">
        <f t="shared" si="2"/>
        <v>11909.577237624533</v>
      </c>
      <c r="K33" s="13">
        <f t="shared" si="2"/>
        <v>12147.768782377023</v>
      </c>
      <c r="L33" s="13">
        <f t="shared" si="2"/>
        <v>12390.724158024563</v>
      </c>
      <c r="M33" s="13">
        <f t="shared" si="2"/>
        <v>12638.538641185056</v>
      </c>
      <c r="N33" s="13">
        <f t="shared" si="2"/>
        <v>12891.309414008758</v>
      </c>
      <c r="O33" s="13">
        <f t="shared" si="2"/>
        <v>13149.13560228893</v>
      </c>
      <c r="P33" s="13">
        <f t="shared" si="2"/>
        <v>13412.118314334712</v>
      </c>
      <c r="Q33" s="13">
        <f t="shared" si="2"/>
        <v>13680.360680621405</v>
      </c>
      <c r="R33" s="13">
        <f t="shared" si="2"/>
        <v>13953.967894233834</v>
      </c>
      <c r="S33" s="13">
        <f t="shared" si="2"/>
        <v>14233.047252118506</v>
      </c>
      <c r="T33" s="13">
        <f t="shared" si="2"/>
        <v>14517.70819716088</v>
      </c>
      <c r="U33" s="13">
        <f t="shared" si="2"/>
        <v>14808.062361104097</v>
      </c>
      <c r="V33" s="13">
        <f t="shared" si="2"/>
        <v>15104.223608326178</v>
      </c>
      <c r="W33" s="13">
        <f t="shared" si="2"/>
        <v>15406.308080492701</v>
      </c>
      <c r="X33" s="13">
        <f t="shared" si="2"/>
        <v>15714.434242102558</v>
      </c>
      <c r="Y33" s="13">
        <f t="shared" si="2"/>
        <v>16028.722926944605</v>
      </c>
      <c r="Z33" s="13">
        <f t="shared" si="2"/>
        <v>16349.297385483498</v>
      </c>
      <c r="AA33" s="13">
        <f t="shared" si="2"/>
        <v>16676.283333193165</v>
      </c>
      <c r="AB33" s="13">
        <f t="shared" si="2"/>
        <v>17009.808999857032</v>
      </c>
      <c r="AC33" s="13">
        <f t="shared" si="2"/>
        <v>17350.00517985417</v>
      </c>
      <c r="AD33" s="13">
        <f t="shared" si="2"/>
        <v>17697.005283451257</v>
      </c>
      <c r="AE33" s="13">
        <f t="shared" si="2"/>
        <v>18050.94538912028</v>
      </c>
      <c r="AF33" s="13">
        <f t="shared" si="2"/>
        <v>18411.964296902686</v>
      </c>
      <c r="AG33" s="13">
        <f t="shared" si="2"/>
        <v>18780.20358284074</v>
      </c>
      <c r="AH33" s="13">
        <f t="shared" si="2"/>
        <v>19155.807654497556</v>
      </c>
    </row>
    <row r="34" ht="15">
      <c r="C34" s="9" t="s">
        <v>0</v>
      </c>
    </row>
    <row r="35" spans="3:34" ht="12">
      <c r="C35" s="36" t="s">
        <v>3</v>
      </c>
      <c r="D35" s="13">
        <f>$D$15*$D$16</f>
        <v>10174.2</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3:34" ht="12">
      <c r="C36" s="36" t="s">
        <v>4</v>
      </c>
      <c r="D36" s="13">
        <f>$D$15*(1-$D$16)</f>
        <v>91567.8</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3:34" ht="12">
      <c r="C37" s="36" t="s">
        <v>58</v>
      </c>
      <c r="D37" s="13"/>
      <c r="E37" s="13">
        <f>E38+E39</f>
        <v>7012.027916085096</v>
      </c>
      <c r="F37" s="13">
        <f aca="true" t="shared" si="3" ref="F37:AH37">F38+F39</f>
        <v>7012.027916085096</v>
      </c>
      <c r="G37" s="13">
        <f t="shared" si="3"/>
        <v>7012.027916085096</v>
      </c>
      <c r="H37" s="13">
        <f t="shared" si="3"/>
        <v>7012.027916085096</v>
      </c>
      <c r="I37" s="13">
        <f t="shared" si="3"/>
        <v>7012.027916085096</v>
      </c>
      <c r="J37" s="13">
        <f t="shared" si="3"/>
        <v>7012.027916085096</v>
      </c>
      <c r="K37" s="13">
        <f t="shared" si="3"/>
        <v>7012.027916085096</v>
      </c>
      <c r="L37" s="13">
        <f t="shared" si="3"/>
        <v>7012.027916085096</v>
      </c>
      <c r="M37" s="13">
        <f t="shared" si="3"/>
        <v>7012.027916085096</v>
      </c>
      <c r="N37" s="13">
        <f t="shared" si="3"/>
        <v>7012.027916085096</v>
      </c>
      <c r="O37" s="13">
        <f t="shared" si="3"/>
        <v>7012.027916085096</v>
      </c>
      <c r="P37" s="13">
        <f t="shared" si="3"/>
        <v>7012.027916085096</v>
      </c>
      <c r="Q37" s="13">
        <f t="shared" si="3"/>
        <v>7012.027916085096</v>
      </c>
      <c r="R37" s="13">
        <f t="shared" si="3"/>
        <v>7012.027916085096</v>
      </c>
      <c r="S37" s="13">
        <f t="shared" si="3"/>
        <v>7012.027916085096</v>
      </c>
      <c r="T37" s="13">
        <f t="shared" si="3"/>
        <v>7012.027916085096</v>
      </c>
      <c r="U37" s="13">
        <f t="shared" si="3"/>
        <v>7012.027916085096</v>
      </c>
      <c r="V37" s="13">
        <f t="shared" si="3"/>
        <v>7012.027916085096</v>
      </c>
      <c r="W37" s="13">
        <f t="shared" si="3"/>
        <v>7012.027916085096</v>
      </c>
      <c r="X37" s="13">
        <f t="shared" si="3"/>
        <v>7012.027916085096</v>
      </c>
      <c r="Y37" s="13">
        <f t="shared" si="3"/>
        <v>7012.027916085096</v>
      </c>
      <c r="Z37" s="13">
        <f t="shared" si="3"/>
        <v>7012.027916085096</v>
      </c>
      <c r="AA37" s="13">
        <f t="shared" si="3"/>
        <v>7012.027916085096</v>
      </c>
      <c r="AB37" s="13">
        <f t="shared" si="3"/>
        <v>7012.027916085096</v>
      </c>
      <c r="AC37" s="13">
        <f t="shared" si="3"/>
        <v>7012.027916085096</v>
      </c>
      <c r="AD37" s="13">
        <f t="shared" si="3"/>
        <v>7012.027916085096</v>
      </c>
      <c r="AE37" s="13">
        <f t="shared" si="3"/>
        <v>7012.027916085096</v>
      </c>
      <c r="AF37" s="13">
        <f t="shared" si="3"/>
        <v>7012.027916085096</v>
      </c>
      <c r="AG37" s="13">
        <f t="shared" si="3"/>
        <v>7012.027916085096</v>
      </c>
      <c r="AH37" s="13">
        <f t="shared" si="3"/>
        <v>7012.027916085096</v>
      </c>
    </row>
    <row r="38" spans="3:34" ht="12">
      <c r="C38" s="110" t="s">
        <v>57</v>
      </c>
      <c r="D38" s="13"/>
      <c r="E38" s="13">
        <f>IF(E$29&lt;=$D$17,-PMT($D$18,$D$17,$D$36)-E$39,0)</f>
        <v>5951.907</v>
      </c>
      <c r="F38" s="13">
        <f aca="true" t="shared" si="4" ref="F38:AH38">IF(F$29&lt;=$D$17,-PMT($D$18,$D$17,$D$36)-F$39,0)</f>
        <v>5882.999140454469</v>
      </c>
      <c r="G38" s="13">
        <f t="shared" si="4"/>
        <v>5809.6122700384785</v>
      </c>
      <c r="H38" s="13">
        <f t="shared" si="4"/>
        <v>5731.455253045448</v>
      </c>
      <c r="I38" s="13">
        <f t="shared" si="4"/>
        <v>5648.2180299478705</v>
      </c>
      <c r="J38" s="13">
        <f t="shared" si="4"/>
        <v>5559.570387348952</v>
      </c>
      <c r="K38" s="13">
        <f t="shared" si="4"/>
        <v>5465.1606479811035</v>
      </c>
      <c r="L38" s="13">
        <f t="shared" si="4"/>
        <v>5364.614275554345</v>
      </c>
      <c r="M38" s="13">
        <f t="shared" si="4"/>
        <v>5257.532388919845</v>
      </c>
      <c r="N38" s="13">
        <f t="shared" si="4"/>
        <v>5143.490179654104</v>
      </c>
      <c r="O38" s="13">
        <f t="shared" si="4"/>
        <v>5022.03522678609</v>
      </c>
      <c r="P38" s="13">
        <f t="shared" si="4"/>
        <v>4892.685701981654</v>
      </c>
      <c r="Q38" s="13">
        <f t="shared" si="4"/>
        <v>4754.92845806493</v>
      </c>
      <c r="R38" s="13">
        <f t="shared" si="4"/>
        <v>4608.2169932936185</v>
      </c>
      <c r="S38" s="13">
        <f t="shared" si="4"/>
        <v>4451.969283312174</v>
      </c>
      <c r="T38" s="13">
        <f t="shared" si="4"/>
        <v>4285.565472181934</v>
      </c>
      <c r="U38" s="13">
        <f t="shared" si="4"/>
        <v>4108.3454133282285</v>
      </c>
      <c r="V38" s="13">
        <f t="shared" si="4"/>
        <v>3919.606050649035</v>
      </c>
      <c r="W38" s="13">
        <f t="shared" si="4"/>
        <v>3718.5986293956885</v>
      </c>
      <c r="X38" s="13">
        <f t="shared" si="4"/>
        <v>3504.5257257608787</v>
      </c>
      <c r="Y38" s="13">
        <f t="shared" si="4"/>
        <v>3276.5380833898025</v>
      </c>
      <c r="Z38" s="13">
        <f t="shared" si="4"/>
        <v>3033.731244264613</v>
      </c>
      <c r="AA38" s="13">
        <f t="shared" si="4"/>
        <v>2775.141960596279</v>
      </c>
      <c r="AB38" s="13">
        <f t="shared" si="4"/>
        <v>2499.7443734895087</v>
      </c>
      <c r="AC38" s="13">
        <f t="shared" si="4"/>
        <v>2206.445943220793</v>
      </c>
      <c r="AD38" s="13">
        <f t="shared" si="4"/>
        <v>1894.0831149846153</v>
      </c>
      <c r="AE38" s="13">
        <f t="shared" si="4"/>
        <v>1561.4167029130886</v>
      </c>
      <c r="AF38" s="13">
        <f t="shared" si="4"/>
        <v>1207.126974056906</v>
      </c>
      <c r="AG38" s="13">
        <f t="shared" si="4"/>
        <v>829.8084128250684</v>
      </c>
      <c r="AH38" s="13">
        <f t="shared" si="4"/>
        <v>427.96414511317016</v>
      </c>
    </row>
    <row r="39" spans="3:34" ht="12">
      <c r="C39" s="110" t="s">
        <v>59</v>
      </c>
      <c r="D39" s="13"/>
      <c r="E39" s="13">
        <f aca="true" t="shared" si="5" ref="E39:AH39">IF(E$29&lt;=$D$17,-PPMT($D$18,E$29,$D$17,$D$36),0)</f>
        <v>1060.1209160850958</v>
      </c>
      <c r="F39" s="13">
        <f t="shared" si="5"/>
        <v>1129.028775630627</v>
      </c>
      <c r="G39" s="13">
        <f t="shared" si="5"/>
        <v>1202.4156460466174</v>
      </c>
      <c r="H39" s="13">
        <f t="shared" si="5"/>
        <v>1280.5726630396475</v>
      </c>
      <c r="I39" s="13">
        <f t="shared" si="5"/>
        <v>1363.8098861372255</v>
      </c>
      <c r="J39" s="13">
        <f t="shared" si="5"/>
        <v>1452.457528736144</v>
      </c>
      <c r="K39" s="13">
        <f t="shared" si="5"/>
        <v>1546.8672681039925</v>
      </c>
      <c r="L39" s="13">
        <f t="shared" si="5"/>
        <v>1647.4136405307509</v>
      </c>
      <c r="M39" s="13">
        <f t="shared" si="5"/>
        <v>1754.4955271652507</v>
      </c>
      <c r="N39" s="13">
        <f t="shared" si="5"/>
        <v>1868.5377364309916</v>
      </c>
      <c r="O39" s="13">
        <f t="shared" si="5"/>
        <v>1989.992689299006</v>
      </c>
      <c r="P39" s="13">
        <f t="shared" si="5"/>
        <v>2119.3422141034416</v>
      </c>
      <c r="Q39" s="13">
        <f t="shared" si="5"/>
        <v>2257.099458020166</v>
      </c>
      <c r="R39" s="13">
        <f t="shared" si="5"/>
        <v>2403.8109227914774</v>
      </c>
      <c r="S39" s="13">
        <f t="shared" si="5"/>
        <v>2560.0586327729216</v>
      </c>
      <c r="T39" s="13">
        <f t="shared" si="5"/>
        <v>2726.4624439031622</v>
      </c>
      <c r="U39" s="13">
        <f t="shared" si="5"/>
        <v>2903.6825027568675</v>
      </c>
      <c r="V39" s="13">
        <f t="shared" si="5"/>
        <v>3092.421865436061</v>
      </c>
      <c r="W39" s="13">
        <f t="shared" si="5"/>
        <v>3293.4292866894075</v>
      </c>
      <c r="X39" s="13">
        <f t="shared" si="5"/>
        <v>3507.5021903242173</v>
      </c>
      <c r="Y39" s="13">
        <f t="shared" si="5"/>
        <v>3735.4898326952934</v>
      </c>
      <c r="Z39" s="13">
        <f t="shared" si="5"/>
        <v>3978.296671820483</v>
      </c>
      <c r="AA39" s="13">
        <f t="shared" si="5"/>
        <v>4236.885955488817</v>
      </c>
      <c r="AB39" s="13">
        <f t="shared" si="5"/>
        <v>4512.283542595587</v>
      </c>
      <c r="AC39" s="13">
        <f t="shared" si="5"/>
        <v>4805.581972864303</v>
      </c>
      <c r="AD39" s="13">
        <f t="shared" si="5"/>
        <v>5117.944801100481</v>
      </c>
      <c r="AE39" s="13">
        <f t="shared" si="5"/>
        <v>5450.611213172007</v>
      </c>
      <c r="AF39" s="13">
        <f t="shared" si="5"/>
        <v>5804.90094202819</v>
      </c>
      <c r="AG39" s="13">
        <f t="shared" si="5"/>
        <v>6182.2195032600275</v>
      </c>
      <c r="AH39" s="13">
        <f t="shared" si="5"/>
        <v>6584.063770971926</v>
      </c>
    </row>
    <row r="40" spans="3:34" ht="12">
      <c r="C40" s="110" t="s">
        <v>60</v>
      </c>
      <c r="D40" s="13"/>
      <c r="E40" s="13">
        <f aca="true" t="shared" si="6" ref="E40:AH40">IF(E$29&lt;=$D$17,(-PMT($D$18,$D$17,$D$36)-E$39)*(1-$D$19),0)</f>
        <v>4166.3349</v>
      </c>
      <c r="F40" s="13">
        <f t="shared" si="6"/>
        <v>4118.099398318128</v>
      </c>
      <c r="G40" s="13">
        <f t="shared" si="6"/>
        <v>4066.7285890269345</v>
      </c>
      <c r="H40" s="13">
        <f t="shared" si="6"/>
        <v>4012.0186771318135</v>
      </c>
      <c r="I40" s="13">
        <f t="shared" si="6"/>
        <v>3953.752620963509</v>
      </c>
      <c r="J40" s="13">
        <f t="shared" si="6"/>
        <v>3891.6992711442663</v>
      </c>
      <c r="K40" s="13">
        <f t="shared" si="6"/>
        <v>3825.612453586772</v>
      </c>
      <c r="L40" s="13">
        <f t="shared" si="6"/>
        <v>3755.229992888041</v>
      </c>
      <c r="M40" s="13">
        <f t="shared" si="6"/>
        <v>3680.2726722438915</v>
      </c>
      <c r="N40" s="13">
        <f t="shared" si="6"/>
        <v>3600.4431257578726</v>
      </c>
      <c r="O40" s="13">
        <f t="shared" si="6"/>
        <v>3515.4246587502626</v>
      </c>
      <c r="P40" s="13">
        <f t="shared" si="6"/>
        <v>3424.879991387158</v>
      </c>
      <c r="Q40" s="13">
        <f t="shared" si="6"/>
        <v>3328.4499206454507</v>
      </c>
      <c r="R40" s="13">
        <f t="shared" si="6"/>
        <v>3225.751895305533</v>
      </c>
      <c r="S40" s="13">
        <f t="shared" si="6"/>
        <v>3116.378498318522</v>
      </c>
      <c r="T40" s="13">
        <f t="shared" si="6"/>
        <v>2999.8958305273536</v>
      </c>
      <c r="U40" s="13">
        <f t="shared" si="6"/>
        <v>2875.8417893297596</v>
      </c>
      <c r="V40" s="13">
        <f t="shared" si="6"/>
        <v>2743.724235454324</v>
      </c>
      <c r="W40" s="13">
        <f t="shared" si="6"/>
        <v>2603.0190405769818</v>
      </c>
      <c r="X40" s="13">
        <f t="shared" si="6"/>
        <v>2453.168008032615</v>
      </c>
      <c r="Y40" s="13">
        <f t="shared" si="6"/>
        <v>2293.5766583728614</v>
      </c>
      <c r="Z40" s="13">
        <f t="shared" si="6"/>
        <v>2123.611870985229</v>
      </c>
      <c r="AA40" s="13">
        <f t="shared" si="6"/>
        <v>1942.5993724173952</v>
      </c>
      <c r="AB40" s="13">
        <f t="shared" si="6"/>
        <v>1749.821061442656</v>
      </c>
      <c r="AC40" s="13">
        <f t="shared" si="6"/>
        <v>1544.512160254555</v>
      </c>
      <c r="AD40" s="13">
        <f t="shared" si="6"/>
        <v>1325.8581804892306</v>
      </c>
      <c r="AE40" s="13">
        <f t="shared" si="6"/>
        <v>1092.991692039162</v>
      </c>
      <c r="AF40" s="13">
        <f t="shared" si="6"/>
        <v>844.9888818398341</v>
      </c>
      <c r="AG40" s="13">
        <f t="shared" si="6"/>
        <v>580.8658889775479</v>
      </c>
      <c r="AH40" s="13">
        <f t="shared" si="6"/>
        <v>299.5749015792191</v>
      </c>
    </row>
    <row r="41" spans="3:34" ht="12">
      <c r="C41" s="110" t="s">
        <v>61</v>
      </c>
      <c r="D41" s="13"/>
      <c r="E41" s="13">
        <f>E$31*$D$21*(1+$D$22)^E$29</f>
        <v>2311.472364892629</v>
      </c>
      <c r="F41" s="13">
        <f aca="true" t="shared" si="7" ref="F41:AH41">F$31*$D$21*(1+$D$22)^F$29</f>
        <v>2357.7018121904816</v>
      </c>
      <c r="G41" s="13">
        <f t="shared" si="7"/>
        <v>2404.855848434291</v>
      </c>
      <c r="H41" s="13">
        <f t="shared" si="7"/>
        <v>2452.952965402977</v>
      </c>
      <c r="I41" s="13">
        <f t="shared" si="7"/>
        <v>2502.0120247110367</v>
      </c>
      <c r="J41" s="13">
        <f t="shared" si="7"/>
        <v>2552.0522652052573</v>
      </c>
      <c r="K41" s="13">
        <f t="shared" si="7"/>
        <v>2603.093310509362</v>
      </c>
      <c r="L41" s="13">
        <f t="shared" si="7"/>
        <v>2655.155176719549</v>
      </c>
      <c r="M41" s="13">
        <f t="shared" si="7"/>
        <v>2708.2582802539405</v>
      </c>
      <c r="N41" s="13">
        <f t="shared" si="7"/>
        <v>2762.4234458590195</v>
      </c>
      <c r="O41" s="13">
        <f t="shared" si="7"/>
        <v>2817.671914776199</v>
      </c>
      <c r="P41" s="13">
        <f t="shared" si="7"/>
        <v>2874.0253530717237</v>
      </c>
      <c r="Q41" s="13">
        <f t="shared" si="7"/>
        <v>2931.505860133158</v>
      </c>
      <c r="R41" s="13">
        <f t="shared" si="7"/>
        <v>2990.1359773358213</v>
      </c>
      <c r="S41" s="13">
        <f t="shared" si="7"/>
        <v>3049.938696882537</v>
      </c>
      <c r="T41" s="13">
        <f t="shared" si="7"/>
        <v>3110.937470820188</v>
      </c>
      <c r="U41" s="13">
        <f t="shared" si="7"/>
        <v>3173.156220236592</v>
      </c>
      <c r="V41" s="13">
        <f t="shared" si="7"/>
        <v>3236.6193446413236</v>
      </c>
      <c r="W41" s="13">
        <f t="shared" si="7"/>
        <v>3301.35173153415</v>
      </c>
      <c r="X41" s="13">
        <f t="shared" si="7"/>
        <v>3367.3787661648335</v>
      </c>
      <c r="Y41" s="13">
        <f t="shared" si="7"/>
        <v>3434.72634148813</v>
      </c>
      <c r="Z41" s="13">
        <f t="shared" si="7"/>
        <v>3503.4208683178927</v>
      </c>
      <c r="AA41" s="13">
        <f t="shared" si="7"/>
        <v>3573.48928568425</v>
      </c>
      <c r="AB41" s="13">
        <f t="shared" si="7"/>
        <v>3644.959071397935</v>
      </c>
      <c r="AC41" s="13">
        <f t="shared" si="7"/>
        <v>3717.858252825894</v>
      </c>
      <c r="AD41" s="13">
        <f t="shared" si="7"/>
        <v>3792.215417882412</v>
      </c>
      <c r="AE41" s="13">
        <f t="shared" si="7"/>
        <v>3868.0597262400597</v>
      </c>
      <c r="AF41" s="13">
        <f t="shared" si="7"/>
        <v>3945.4209207648614</v>
      </c>
      <c r="AG41" s="13">
        <f t="shared" si="7"/>
        <v>4024.329339180158</v>
      </c>
      <c r="AH41" s="13">
        <f t="shared" si="7"/>
        <v>4104.815925963761</v>
      </c>
    </row>
    <row r="42" spans="3:34" ht="12">
      <c r="C42" s="110" t="s">
        <v>65</v>
      </c>
      <c r="D42" s="13"/>
      <c r="E42" s="13">
        <f>$D$23*$D$24*(1+$D$25)^E$29</f>
        <v>0</v>
      </c>
      <c r="F42" s="13">
        <f aca="true" t="shared" si="8" ref="F42:AH42">$D$23*$D$24*(1+$D$25)^F$29</f>
        <v>0</v>
      </c>
      <c r="G42" s="13">
        <f t="shared" si="8"/>
        <v>0</v>
      </c>
      <c r="H42" s="13">
        <f t="shared" si="8"/>
        <v>0</v>
      </c>
      <c r="I42" s="13">
        <f t="shared" si="8"/>
        <v>0</v>
      </c>
      <c r="J42" s="13">
        <f t="shared" si="8"/>
        <v>0</v>
      </c>
      <c r="K42" s="13">
        <f t="shared" si="8"/>
        <v>0</v>
      </c>
      <c r="L42" s="13">
        <f t="shared" si="8"/>
        <v>0</v>
      </c>
      <c r="M42" s="13">
        <f t="shared" si="8"/>
        <v>0</v>
      </c>
      <c r="N42" s="13">
        <f t="shared" si="8"/>
        <v>0</v>
      </c>
      <c r="O42" s="13">
        <f t="shared" si="8"/>
        <v>0</v>
      </c>
      <c r="P42" s="13">
        <f t="shared" si="8"/>
        <v>0</v>
      </c>
      <c r="Q42" s="13">
        <f t="shared" si="8"/>
        <v>0</v>
      </c>
      <c r="R42" s="13">
        <f t="shared" si="8"/>
        <v>0</v>
      </c>
      <c r="S42" s="13">
        <f t="shared" si="8"/>
        <v>0</v>
      </c>
      <c r="T42" s="13">
        <f t="shared" si="8"/>
        <v>0</v>
      </c>
      <c r="U42" s="13">
        <f t="shared" si="8"/>
        <v>0</v>
      </c>
      <c r="V42" s="13">
        <f t="shared" si="8"/>
        <v>0</v>
      </c>
      <c r="W42" s="13">
        <f t="shared" si="8"/>
        <v>0</v>
      </c>
      <c r="X42" s="13">
        <f t="shared" si="8"/>
        <v>0</v>
      </c>
      <c r="Y42" s="13">
        <f t="shared" si="8"/>
        <v>0</v>
      </c>
      <c r="Z42" s="13">
        <f t="shared" si="8"/>
        <v>0</v>
      </c>
      <c r="AA42" s="13">
        <f t="shared" si="8"/>
        <v>0</v>
      </c>
      <c r="AB42" s="13">
        <f t="shared" si="8"/>
        <v>0</v>
      </c>
      <c r="AC42" s="13">
        <f t="shared" si="8"/>
        <v>0</v>
      </c>
      <c r="AD42" s="13">
        <f t="shared" si="8"/>
        <v>0</v>
      </c>
      <c r="AE42" s="13">
        <f t="shared" si="8"/>
        <v>0</v>
      </c>
      <c r="AF42" s="13">
        <f t="shared" si="8"/>
        <v>0</v>
      </c>
      <c r="AG42" s="13">
        <f t="shared" si="8"/>
        <v>0</v>
      </c>
      <c r="AH42" s="13">
        <f t="shared" si="8"/>
        <v>0</v>
      </c>
    </row>
    <row r="43" spans="3:34" ht="12">
      <c r="C43" s="108" t="s">
        <v>66</v>
      </c>
      <c r="D43" s="13"/>
      <c r="E43" s="13">
        <f>SUM(E39:E42)</f>
        <v>7537.928180977724</v>
      </c>
      <c r="F43" s="13">
        <f aca="true" t="shared" si="9" ref="F43:AH43">SUM(F39:F42)</f>
        <v>7604.829986139237</v>
      </c>
      <c r="G43" s="13">
        <f t="shared" si="9"/>
        <v>7674.000083507844</v>
      </c>
      <c r="H43" s="13">
        <f t="shared" si="9"/>
        <v>7745.544305574438</v>
      </c>
      <c r="I43" s="13">
        <f t="shared" si="9"/>
        <v>7819.5745318117715</v>
      </c>
      <c r="J43" s="13">
        <f t="shared" si="9"/>
        <v>7896.209065085668</v>
      </c>
      <c r="K43" s="13">
        <f t="shared" si="9"/>
        <v>7975.573032200126</v>
      </c>
      <c r="L43" s="13">
        <f t="shared" si="9"/>
        <v>8057.798810138342</v>
      </c>
      <c r="M43" s="13">
        <f t="shared" si="9"/>
        <v>8143.026479663082</v>
      </c>
      <c r="N43" s="13">
        <f t="shared" si="9"/>
        <v>8231.404308047884</v>
      </c>
      <c r="O43" s="13">
        <f t="shared" si="9"/>
        <v>8323.089262825468</v>
      </c>
      <c r="P43" s="13">
        <f t="shared" si="9"/>
        <v>8418.247558562323</v>
      </c>
      <c r="Q43" s="13">
        <f t="shared" si="9"/>
        <v>8517.055238798775</v>
      </c>
      <c r="R43" s="13">
        <f t="shared" si="9"/>
        <v>8619.698795432832</v>
      </c>
      <c r="S43" s="13">
        <f t="shared" si="9"/>
        <v>8726.37582797398</v>
      </c>
      <c r="T43" s="13">
        <f t="shared" si="9"/>
        <v>8837.295745250703</v>
      </c>
      <c r="U43" s="13">
        <f t="shared" si="9"/>
        <v>8952.680512323219</v>
      </c>
      <c r="V43" s="13">
        <f t="shared" si="9"/>
        <v>9072.76544553171</v>
      </c>
      <c r="W43" s="13">
        <f t="shared" si="9"/>
        <v>9197.80005880054</v>
      </c>
      <c r="X43" s="13">
        <f t="shared" si="9"/>
        <v>9328.048964521666</v>
      </c>
      <c r="Y43" s="13">
        <f t="shared" si="9"/>
        <v>9463.792832556286</v>
      </c>
      <c r="Z43" s="13">
        <f t="shared" si="9"/>
        <v>9605.329411123605</v>
      </c>
      <c r="AA43" s="13">
        <f t="shared" si="9"/>
        <v>9752.97461359046</v>
      </c>
      <c r="AB43" s="13">
        <f t="shared" si="9"/>
        <v>9907.063675436179</v>
      </c>
      <c r="AC43" s="13">
        <f t="shared" si="9"/>
        <v>10067.95238594475</v>
      </c>
      <c r="AD43" s="13">
        <f t="shared" si="9"/>
        <v>10236.018399472123</v>
      </c>
      <c r="AE43" s="13">
        <f t="shared" si="9"/>
        <v>10411.662631451229</v>
      </c>
      <c r="AF43" s="13">
        <f t="shared" si="9"/>
        <v>10595.310744632885</v>
      </c>
      <c r="AG43" s="13">
        <f t="shared" si="9"/>
        <v>10787.414731417733</v>
      </c>
      <c r="AH43" s="13">
        <f t="shared" si="9"/>
        <v>10988.454598514905</v>
      </c>
    </row>
    <row r="44" spans="3:34" ht="15">
      <c r="C44" s="9" t="s">
        <v>28</v>
      </c>
      <c r="D44" s="4">
        <f>-D35</f>
        <v>-10174.2</v>
      </c>
      <c r="E44" s="4">
        <f aca="true" t="shared" si="10" ref="E44:AH44">E33-E43</f>
        <v>3248.9428551878773</v>
      </c>
      <c r="F44" s="4">
        <f t="shared" si="10"/>
        <v>3397.7784707496758</v>
      </c>
      <c r="G44" s="4">
        <f t="shared" si="10"/>
        <v>3548.6605425188473</v>
      </c>
      <c r="H44" s="4">
        <f t="shared" si="10"/>
        <v>3701.569532972786</v>
      </c>
      <c r="I44" s="4">
        <f t="shared" si="10"/>
        <v>3856.4815835063982</v>
      </c>
      <c r="J44" s="4">
        <f t="shared" si="10"/>
        <v>4013.368172538865</v>
      </c>
      <c r="K44" s="4">
        <f t="shared" si="10"/>
        <v>4172.195750176897</v>
      </c>
      <c r="L44" s="4">
        <f t="shared" si="10"/>
        <v>4332.925347886221</v>
      </c>
      <c r="M44" s="4">
        <f t="shared" si="10"/>
        <v>4495.512161521974</v>
      </c>
      <c r="N44" s="4">
        <f t="shared" si="10"/>
        <v>4659.905105960874</v>
      </c>
      <c r="O44" s="4">
        <f t="shared" si="10"/>
        <v>4826.046339463463</v>
      </c>
      <c r="P44" s="4">
        <f t="shared" si="10"/>
        <v>4993.870755772388</v>
      </c>
      <c r="Q44" s="4">
        <f t="shared" si="10"/>
        <v>5163.305441822629</v>
      </c>
      <c r="R44" s="4">
        <f t="shared" si="10"/>
        <v>5334.269098801002</v>
      </c>
      <c r="S44" s="4">
        <f t="shared" si="10"/>
        <v>5506.671424144526</v>
      </c>
      <c r="T44" s="4">
        <f t="shared" si="10"/>
        <v>5680.412451910177</v>
      </c>
      <c r="U44" s="4">
        <f t="shared" si="10"/>
        <v>5855.3818487808785</v>
      </c>
      <c r="V44" s="4">
        <f t="shared" si="10"/>
        <v>6031.458162794468</v>
      </c>
      <c r="W44" s="4">
        <f t="shared" si="10"/>
        <v>6208.5080216921615</v>
      </c>
      <c r="X44" s="4">
        <f t="shared" si="10"/>
        <v>6386.385277580892</v>
      </c>
      <c r="Y44" s="4">
        <f t="shared" si="10"/>
        <v>6564.930094388319</v>
      </c>
      <c r="Z44" s="4">
        <f t="shared" si="10"/>
        <v>6743.967974359894</v>
      </c>
      <c r="AA44" s="4">
        <f t="shared" si="10"/>
        <v>6923.3087196027045</v>
      </c>
      <c r="AB44" s="4">
        <f t="shared" si="10"/>
        <v>7102.745324420854</v>
      </c>
      <c r="AC44" s="4">
        <f t="shared" si="10"/>
        <v>7282.052793909421</v>
      </c>
      <c r="AD44" s="4">
        <f t="shared" si="10"/>
        <v>7460.986883979134</v>
      </c>
      <c r="AE44" s="4">
        <f t="shared" si="10"/>
        <v>7639.282757669051</v>
      </c>
      <c r="AF44" s="4">
        <f t="shared" si="10"/>
        <v>7816.653552269801</v>
      </c>
      <c r="AG44" s="4">
        <f t="shared" si="10"/>
        <v>7992.788851423005</v>
      </c>
      <c r="AH44" s="4">
        <f t="shared" si="10"/>
        <v>8167.35305598265</v>
      </c>
    </row>
    <row r="45" spans="3:34" ht="15">
      <c r="C45" s="79" t="s">
        <v>73</v>
      </c>
      <c r="D45" s="4">
        <f>D44</f>
        <v>-10174.2</v>
      </c>
      <c r="E45" s="4">
        <f>D44+E44</f>
        <v>-6925.257144812123</v>
      </c>
      <c r="F45" s="4">
        <f>E45+F44</f>
        <v>-3527.4786740624477</v>
      </c>
      <c r="G45" s="4">
        <f>F45+G44</f>
        <v>21.18186845639957</v>
      </c>
      <c r="H45" s="4">
        <f aca="true" t="shared" si="11" ref="H45:AH45">G45+H44</f>
        <v>3722.7514014291855</v>
      </c>
      <c r="I45" s="4">
        <f t="shared" si="11"/>
        <v>7579.232984935584</v>
      </c>
      <c r="J45" s="4">
        <f t="shared" si="11"/>
        <v>11592.601157474448</v>
      </c>
      <c r="K45" s="4">
        <f t="shared" si="11"/>
        <v>15764.796907651344</v>
      </c>
      <c r="L45" s="4">
        <f t="shared" si="11"/>
        <v>20097.722255537563</v>
      </c>
      <c r="M45" s="4">
        <f t="shared" si="11"/>
        <v>24593.23441705954</v>
      </c>
      <c r="N45" s="4">
        <f t="shared" si="11"/>
        <v>29253.139523020414</v>
      </c>
      <c r="O45" s="4">
        <f t="shared" si="11"/>
        <v>34079.18586248388</v>
      </c>
      <c r="P45" s="4">
        <f t="shared" si="11"/>
        <v>39073.05661825627</v>
      </c>
      <c r="Q45" s="4">
        <f t="shared" si="11"/>
        <v>44236.3620600789</v>
      </c>
      <c r="R45" s="4">
        <f t="shared" si="11"/>
        <v>49570.6311588799</v>
      </c>
      <c r="S45" s="4">
        <f t="shared" si="11"/>
        <v>55077.30258302443</v>
      </c>
      <c r="T45" s="4">
        <f t="shared" si="11"/>
        <v>60757.715034934605</v>
      </c>
      <c r="U45" s="4">
        <f t="shared" si="11"/>
        <v>66613.09688371548</v>
      </c>
      <c r="V45" s="4">
        <f t="shared" si="11"/>
        <v>72644.55504650995</v>
      </c>
      <c r="W45" s="4">
        <f t="shared" si="11"/>
        <v>78853.06306820211</v>
      </c>
      <c r="X45" s="4">
        <f t="shared" si="11"/>
        <v>85239.448345783</v>
      </c>
      <c r="Y45" s="4">
        <f t="shared" si="11"/>
        <v>91804.37844017132</v>
      </c>
      <c r="Z45" s="4">
        <f t="shared" si="11"/>
        <v>98548.34641453122</v>
      </c>
      <c r="AA45" s="4">
        <f t="shared" si="11"/>
        <v>105471.65513413392</v>
      </c>
      <c r="AB45" s="4">
        <f t="shared" si="11"/>
        <v>112574.40045855478</v>
      </c>
      <c r="AC45" s="4">
        <f t="shared" si="11"/>
        <v>119856.4532524642</v>
      </c>
      <c r="AD45" s="4">
        <f t="shared" si="11"/>
        <v>127317.44013644333</v>
      </c>
      <c r="AE45" s="4">
        <f t="shared" si="11"/>
        <v>134956.72289411238</v>
      </c>
      <c r="AF45" s="4">
        <f t="shared" si="11"/>
        <v>142773.37644638217</v>
      </c>
      <c r="AG45" s="4">
        <f t="shared" si="11"/>
        <v>150766.1652978052</v>
      </c>
      <c r="AH45" s="4">
        <f t="shared" si="11"/>
        <v>158933.51835378783</v>
      </c>
    </row>
    <row r="46" spans="3:4" ht="12">
      <c r="C46" s="78"/>
      <c r="D46" s="5"/>
    </row>
  </sheetData>
  <sheetProtection password="CAB3" sheet="1" objects="1" scenarios="1"/>
  <printOptions/>
  <pageMargins left="0.18" right="0.17" top="0.9" bottom="1" header="0.5" footer="0.5"/>
  <pageSetup fitToHeight="1" fitToWidth="1" horizontalDpi="600" verticalDpi="600" orientation="landscape" scale="35"/>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2:G71"/>
  <sheetViews>
    <sheetView workbookViewId="0" topLeftCell="A37">
      <selection activeCell="A1" sqref="A1"/>
    </sheetView>
  </sheetViews>
  <sheetFormatPr defaultColWidth="11.421875" defaultRowHeight="12.75"/>
  <cols>
    <col min="1" max="3" width="8.8515625" style="0" customWidth="1"/>
    <col min="4" max="4" width="39.421875" style="0" customWidth="1"/>
    <col min="5" max="6" width="14.140625" style="0" customWidth="1"/>
    <col min="7" max="7" width="16.140625" style="0" customWidth="1"/>
    <col min="8" max="16384" width="8.8515625" style="0" customWidth="1"/>
  </cols>
  <sheetData>
    <row r="2" spans="2:3" ht="12">
      <c r="B2" s="65"/>
      <c r="C2" s="64" t="s">
        <v>36</v>
      </c>
    </row>
    <row r="3" spans="2:3" ht="12">
      <c r="B3" s="36"/>
      <c r="C3" s="82" t="s">
        <v>101</v>
      </c>
    </row>
    <row r="5" ht="12">
      <c r="B5" t="s">
        <v>88</v>
      </c>
    </row>
    <row r="6" ht="12">
      <c r="D6" t="s">
        <v>27</v>
      </c>
    </row>
    <row r="7" spans="3:5" ht="12">
      <c r="C7" s="10" t="s">
        <v>2</v>
      </c>
      <c r="D7" s="10"/>
      <c r="E7" s="36">
        <f>IF(Financial!$A$3=1,Financial!$B6,IF(Financial!$A$3=2,Financial!$C6,IF(Financial!$A$3=3,Financial!$D6,IF(Financial!$A$3=4,Financial!$E6,"Error"))))</f>
        <v>0.1</v>
      </c>
    </row>
    <row r="8" spans="3:5" ht="12">
      <c r="C8" s="10" t="s">
        <v>78</v>
      </c>
      <c r="D8" s="10"/>
      <c r="E8" s="36">
        <f>IF(Financial!$A$3=1,Financial!$B7,IF(Financial!$A$3=2,Financial!$C7,IF(Financial!$A$3=3,Financial!$D7,IF(Financial!$A$3=4,Financial!$E7,"Error"))))</f>
        <v>0.065</v>
      </c>
    </row>
    <row r="9" spans="3:5" ht="12">
      <c r="C9" s="10" t="s">
        <v>81</v>
      </c>
      <c r="D9" s="10"/>
      <c r="E9" s="36">
        <f>IF(Financial!$A$3=1,Financial!$B8,IF(Financial!$A$3=2,Financial!$C8,IF(Financial!$A$3=3,Financial!$D8,IF(Financial!$A$3=4,Financial!$E8,"Error"))))</f>
        <v>0.3</v>
      </c>
    </row>
    <row r="10" spans="3:5" ht="12">
      <c r="C10" s="10" t="s">
        <v>80</v>
      </c>
      <c r="D10" s="10"/>
      <c r="E10" s="36">
        <f>IF(Financial!$A$3=1,Financial!$B9,IF(Financial!$A$3=2,Financial!$C9,IF(Financial!$A$3=3,Financial!$D9,IF(Financial!$A$3=4,Financial!$E9,"Error"))))</f>
        <v>30</v>
      </c>
    </row>
    <row r="12" ht="12">
      <c r="B12" t="s">
        <v>79</v>
      </c>
    </row>
    <row r="14" ht="12">
      <c r="C14" t="s">
        <v>98</v>
      </c>
    </row>
    <row r="15" spans="4:7" ht="12">
      <c r="D15" s="62" t="s">
        <v>83</v>
      </c>
      <c r="E15" s="36">
        <f>IF(Site!$A$3=1,Site!$C6,IF(Site!$A$3=2,Site!$D6,IF(Site!$A$3=3,Site!$E6,IF(Site!$A$3=4,Site!$F6,IF(Site!$A$3=5,Site!$G6,IF(Site!$A$3=6,Site!$H6,"Error"))))))</f>
        <v>8</v>
      </c>
      <c r="G15" s="82"/>
    </row>
    <row r="16" spans="4:5" ht="12">
      <c r="D16" s="62" t="s">
        <v>87</v>
      </c>
      <c r="E16" s="36">
        <f>IF(Site!$A$3=1,Site!$C7,IF(Site!$A$3=2,Site!$D7,IF(Site!$A$3=3,Site!$E7,IF(Site!$A$3=4,Site!$F7,IF(Site!$A$3=5,Site!$G7,IF(Site!$A$3=6,Site!$H7,"Error"))))))</f>
        <v>50</v>
      </c>
    </row>
    <row r="17" spans="4:5" ht="12">
      <c r="D17" s="62" t="s">
        <v>86</v>
      </c>
      <c r="E17" s="36">
        <f>IF(Site!$A$3=1,Site!$C8,IF(Site!$A$3=2,Site!$D8,IF(Site!$A$3=3,Site!$E8,IF(Site!$A$3=4,Site!$F8,IF(Site!$A$3=5,Site!$G8,IF(Site!$A$3=6,Site!$H8,"Error"))))))</f>
        <v>0.143</v>
      </c>
    </row>
    <row r="18" spans="4:5" ht="12">
      <c r="D18" s="62" t="s">
        <v>85</v>
      </c>
      <c r="E18" s="36">
        <f>IF(Site!$A$3=1,Site!$C9,IF(Site!$A$3=2,Site!$D9,IF(Site!$A$3=3,Site!$E9,IF(Site!$A$3=4,Site!$F9,IF(Site!$A$3=5,Site!$G9,IF(Site!$A$3=6,Site!$H9,"Error"))))))</f>
        <v>2.3</v>
      </c>
    </row>
    <row r="19" spans="4:5" ht="12">
      <c r="D19" s="62" t="s">
        <v>84</v>
      </c>
      <c r="E19" s="36">
        <f>IF(Site!$A$3=1,Site!$C10,IF(Site!$A$3=2,Site!$D10,IF(Site!$A$3=3,Site!$E10,IF(Site!$A$3=4,Site!$F10,IF(Site!$A$3=5,Site!$G10,IF(Site!$A$3=6,Site!$H10,"Error"))))))</f>
        <v>800</v>
      </c>
    </row>
    <row r="20" ht="12">
      <c r="C20" t="s">
        <v>97</v>
      </c>
    </row>
    <row r="21" spans="4:5" ht="12">
      <c r="D21" s="10" t="s">
        <v>5</v>
      </c>
      <c r="E21" s="36">
        <f>IF(Site!$A$3=1,Site!$C12,IF(Site!$A$3=2,Site!$D12,IF(Site!$A$3=3,Site!$E12,IF(Site!$A$3=4,Site!$F12,IF(Site!$A$3=5,Site!$G12,IF(Site!$A$3=6,Site!$H12,"Error"))))))</f>
        <v>0.07</v>
      </c>
    </row>
    <row r="22" spans="4:5" ht="12">
      <c r="D22" s="10" t="s">
        <v>82</v>
      </c>
      <c r="E22" s="36">
        <f>IF(Site!$A$3=1,Site!$C13,IF(Site!$A$3=2,Site!$D13,IF(Site!$A$3=3,Site!$E13,IF(Site!$A$3=4,Site!$F13,IF(Site!$A$3=5,Site!$G13,IF(Site!$A$3=6,Site!$H13,"Error"))))))</f>
        <v>0.02</v>
      </c>
    </row>
    <row r="24" ht="12">
      <c r="B24" t="s">
        <v>89</v>
      </c>
    </row>
    <row r="26" ht="12">
      <c r="C26" t="s">
        <v>95</v>
      </c>
    </row>
    <row r="27" spans="4:5" ht="12">
      <c r="D27" s="10" t="s">
        <v>90</v>
      </c>
      <c r="E27" s="36">
        <f>IF(System!$A$3=1,System!$C7,IF(System!$A$3=2,System!$D7,IF(System!$A$3=3,System!$E7,IF(System!$A$3=4,System!$F7,IF(System!$A$3=5,System!$G7,"Error")))))</f>
        <v>101742</v>
      </c>
    </row>
    <row r="28" spans="4:5" ht="12">
      <c r="D28" s="10" t="s">
        <v>8</v>
      </c>
      <c r="E28" s="36">
        <f>IF(System!$A$3=1,System!$C8,IF(System!$A$3=2,System!$D8,IF(System!$A$3=3,System!$E8,IF(System!$A$3=4,System!$F8,IF(System!$A$3=5,System!$G8,"Error")))))</f>
        <v>0.015</v>
      </c>
    </row>
    <row r="29" spans="4:5" ht="12">
      <c r="D29" s="10" t="s">
        <v>9</v>
      </c>
      <c r="E29" s="36">
        <f>IF(System!$A$3=1,System!$C9,IF(System!$A$3=2,System!$D9,IF(System!$A$3=3,System!$E9,IF(System!$A$3=4,System!$F9,IF(System!$A$3=5,System!$G9,"Error")))))</f>
        <v>0.02</v>
      </c>
    </row>
    <row r="30" spans="4:5" ht="12">
      <c r="D30" s="10" t="s">
        <v>10</v>
      </c>
      <c r="E30" s="36">
        <f>IF(System!$A$3=1,System!$C10,IF(System!$A$3=2,System!$D10,IF(System!$A$3=3,System!$E10,IF(System!$A$3=4,System!$F10,IF(System!$A$3=5,System!$G10,"Error")))))</f>
        <v>0</v>
      </c>
    </row>
    <row r="31" spans="4:5" ht="12">
      <c r="D31" s="10" t="s">
        <v>11</v>
      </c>
      <c r="E31" s="36">
        <f>IF(System!$A$3=1,System!$C11,IF(System!$A$3=2,System!$D11,IF(System!$A$3=3,System!$E11,IF(System!$A$3=4,System!$F11,IF(System!$A$3=5,System!$G11,"Error")))))</f>
        <v>0.02</v>
      </c>
    </row>
    <row r="32" ht="12">
      <c r="C32" t="s">
        <v>96</v>
      </c>
    </row>
    <row r="33" spans="4:5" ht="12">
      <c r="D33" s="10" t="s">
        <v>13</v>
      </c>
      <c r="E33" s="36">
        <f>IF(System!$A$3=1,System!$C13,IF(System!$A$3=2,System!$D13,IF(System!$A$3=3,System!$E13,IF(System!$A$3=4,System!$F13,IF(System!$A$3=5,System!$G13,"Error")))))</f>
        <v>50</v>
      </c>
    </row>
    <row r="34" spans="4:5" ht="12">
      <c r="D34" s="62" t="s">
        <v>91</v>
      </c>
      <c r="E34" s="36">
        <f>IF(System!$A$3=1,System!$C14,IF(System!$A$3=2,System!$D14,IF(System!$A$3=3,System!$E14,IF(System!$A$3=4,System!$F14,IF(System!$A$3=5,System!$G14,"Error")))))</f>
        <v>24</v>
      </c>
    </row>
    <row r="35" spans="4:5" ht="12">
      <c r="D35" s="62" t="s">
        <v>92</v>
      </c>
      <c r="E35" s="36">
        <f>IF(System!$A$3=1,System!$C15,IF(System!$A$3=2,System!$D15,IF(System!$A$3=3,System!$E15,IF(System!$A$3=4,System!$F15,IF(System!$A$3=5,System!$G15,"Error")))))</f>
        <v>0.98</v>
      </c>
    </row>
    <row r="36" spans="4:5" ht="12">
      <c r="D36" s="62" t="s">
        <v>93</v>
      </c>
      <c r="E36" s="36">
        <f>IF(System!$A$3=1,System!$C16,IF(System!$A$3=2,System!$D16,IF(System!$A$3=3,System!$E16,IF(System!$A$3=4,System!$F16,IF(System!$A$3=5,System!$G16,"Error")))))</f>
        <v>0</v>
      </c>
    </row>
    <row r="37" spans="4:5" ht="12">
      <c r="D37" s="62" t="s">
        <v>94</v>
      </c>
      <c r="E37" s="36">
        <f>IF(System!$A$3=1,System!$C17,IF(System!$A$3=2,System!$D17,IF(System!$A$3=3,System!$E17,IF(System!$A$3=4,System!$F17,IF(System!$A$3=5,System!$G17,"Error")))))</f>
        <v>0.1</v>
      </c>
    </row>
    <row r="38" spans="4:5" ht="12">
      <c r="D38" s="1"/>
      <c r="E38" s="63"/>
    </row>
    <row r="39" spans="4:5" ht="12">
      <c r="D39" s="62" t="s">
        <v>34</v>
      </c>
      <c r="E39" s="67">
        <f>$E$15*(($E$34/$E$16))^$E$17</f>
        <v>7.20290163460308</v>
      </c>
    </row>
    <row r="40" spans="4:5" ht="12">
      <c r="D40" s="62" t="s">
        <v>35</v>
      </c>
      <c r="E40" s="67">
        <f>+(1-0.0065/288*E19)^4.256</f>
        <v>0.9253838595453662</v>
      </c>
    </row>
    <row r="41" spans="4:6" ht="12">
      <c r="D41" s="62" t="s">
        <v>72</v>
      </c>
      <c r="E41" s="70">
        <f>$G$71*8760</f>
        <v>151076.62515638096</v>
      </c>
      <c r="F41" s="109"/>
    </row>
    <row r="42" spans="4:5" ht="12">
      <c r="D42" s="62" t="s">
        <v>116</v>
      </c>
      <c r="E42" s="87">
        <f>$E$41/($E$33*8760)</f>
        <v>0.3449238017268972</v>
      </c>
    </row>
    <row r="43" ht="12">
      <c r="D43" s="1"/>
    </row>
    <row r="44" spans="3:7" ht="38.25" customHeight="1">
      <c r="C44" s="1"/>
      <c r="D44" s="59" t="s">
        <v>32</v>
      </c>
      <c r="E44" s="59" t="s">
        <v>33</v>
      </c>
      <c r="F44" s="60" t="s">
        <v>75</v>
      </c>
      <c r="G44" s="60" t="s">
        <v>31</v>
      </c>
    </row>
    <row r="45" spans="4:7" ht="12">
      <c r="D45" s="61">
        <v>1</v>
      </c>
      <c r="E45" s="36">
        <f>IF(System!$A$3=1,System!$C20,IF(System!$A$3=2,System!$D20,IF(System!$A$3=3,System!$E20,IF(System!$A$3=4,System!$F20,IF(System!$A$3=5,System!$G20,"Error")))))</f>
        <v>0</v>
      </c>
      <c r="F45" s="68">
        <f>($E$18/($E$39/0.89))*(($D45/($E$39/0.89))^($E$18-1))*(EXP(-(($D45/($E$39/0.89))^$E$18)))</f>
        <v>0.01860016233395955</v>
      </c>
      <c r="G45" s="66">
        <f>$E45*$F45*$E$40*$E$35*(1-$E$36)*(1-$E$37)</f>
        <v>0</v>
      </c>
    </row>
    <row r="46" spans="4:7" ht="12">
      <c r="D46" s="61">
        <v>2</v>
      </c>
      <c r="E46" s="36">
        <f>IF(System!$A$3=1,System!$C21,IF(System!$A$3=2,System!$D21,IF(System!$A$3=3,System!$E21,IF(System!$A$3=4,System!$F21,IF(System!$A$3=5,System!$G21,"Error")))))</f>
        <v>0</v>
      </c>
      <c r="F46" s="68">
        <f aca="true" t="shared" si="0" ref="F46:F69">($E$18/($E$39/0.89))*(($D46/($E$39/0.89))^($E$18-1))*(EXP(-(($D46/($E$39/0.89))^$E$18)))</f>
        <v>0.044356694784558705</v>
      </c>
      <c r="G46" s="66">
        <f aca="true" t="shared" si="1" ref="G46:G69">$E46*$F46*$E$40*$E$35*(1-$E$36)*(1-$E$37)</f>
        <v>0</v>
      </c>
    </row>
    <row r="47" spans="4:7" ht="12">
      <c r="D47" s="61">
        <v>3</v>
      </c>
      <c r="E47" s="36">
        <f>IF(System!$A$3=1,System!$C22,IF(System!$A$3=2,System!$D22,IF(System!$A$3=3,System!$E22,IF(System!$A$3=4,System!$F22,IF(System!$A$3=5,System!$G22,"Error")))))</f>
        <v>0</v>
      </c>
      <c r="F47" s="68">
        <f t="shared" si="0"/>
        <v>0.07063275762344398</v>
      </c>
      <c r="G47" s="66">
        <f t="shared" si="1"/>
        <v>0</v>
      </c>
    </row>
    <row r="48" spans="4:7" ht="12">
      <c r="D48" s="61">
        <v>4</v>
      </c>
      <c r="E48" s="36">
        <f>IF(System!$A$3=1,System!$C23,IF(System!$A$3=2,System!$D23,IF(System!$A$3=3,System!$E23,IF(System!$A$3=4,System!$F23,IF(System!$A$3=5,System!$G23,"Error")))))</f>
        <v>0</v>
      </c>
      <c r="F48" s="68">
        <f t="shared" si="0"/>
        <v>0.09329610761287331</v>
      </c>
      <c r="G48" s="66">
        <f t="shared" si="1"/>
        <v>0</v>
      </c>
    </row>
    <row r="49" spans="4:7" ht="12">
      <c r="D49" s="61">
        <v>5</v>
      </c>
      <c r="E49" s="36">
        <f>IF(System!$A$3=1,System!$C24,IF(System!$A$3=2,System!$D24,IF(System!$A$3=3,System!$E24,IF(System!$A$3=4,System!$F24,IF(System!$A$3=5,System!$G24,"Error")))))</f>
        <v>4.4</v>
      </c>
      <c r="F49" s="68">
        <f t="shared" si="0"/>
        <v>0.10920786608320289</v>
      </c>
      <c r="G49" s="66">
        <f t="shared" si="1"/>
        <v>0.3921905301993836</v>
      </c>
    </row>
    <row r="50" spans="4:7" ht="12">
      <c r="D50" s="61">
        <v>6</v>
      </c>
      <c r="E50" s="36">
        <f>IF(System!$A$3=1,System!$C25,IF(System!$A$3=2,System!$D25,IF(System!$A$3=3,System!$E25,IF(System!$A$3=4,System!$F25,IF(System!$A$3=5,System!$G25,"Error")))))</f>
        <v>8.9</v>
      </c>
      <c r="F50" s="68">
        <f t="shared" si="0"/>
        <v>0.11653345551237525</v>
      </c>
      <c r="G50" s="66">
        <f t="shared" si="1"/>
        <v>0.8465081361656047</v>
      </c>
    </row>
    <row r="51" spans="4:7" ht="12">
      <c r="D51" s="61">
        <v>7</v>
      </c>
      <c r="E51" s="36">
        <f>IF(System!$A$3=1,System!$C26,IF(System!$A$3=2,System!$D26,IF(System!$A$3=3,System!$E26,IF(System!$A$3=4,System!$F26,IF(System!$A$3=5,System!$G26,"Error")))))</f>
        <v>15.6</v>
      </c>
      <c r="F51" s="68">
        <f t="shared" si="0"/>
        <v>0.1149816026843997</v>
      </c>
      <c r="G51" s="66">
        <f t="shared" si="1"/>
        <v>1.4640080394432953</v>
      </c>
    </row>
    <row r="52" spans="4:7" ht="12">
      <c r="D52" s="61">
        <v>8</v>
      </c>
      <c r="E52" s="36">
        <f>IF(System!$A$3=1,System!$C27,IF(System!$A$3=2,System!$D27,IF(System!$A$3=3,System!$E27,IF(System!$A$3=4,System!$F27,IF(System!$A$3=5,System!$G27,"Error")))))</f>
        <v>24.4</v>
      </c>
      <c r="F52" s="68">
        <f t="shared" si="0"/>
        <v>0.10572818746079955</v>
      </c>
      <c r="G52" s="66">
        <f t="shared" si="1"/>
        <v>2.105576955257074</v>
      </c>
    </row>
    <row r="53" spans="4:7" ht="12">
      <c r="D53" s="61">
        <v>9</v>
      </c>
      <c r="E53" s="36">
        <f>IF(System!$A$3=1,System!$C28,IF(System!$A$3=2,System!$D28,IF(System!$A$3=3,System!$E28,IF(System!$A$3=4,System!$F28,IF(System!$A$3=5,System!$G28,"Error")))))</f>
        <v>33</v>
      </c>
      <c r="F53" s="68">
        <f t="shared" si="0"/>
        <v>0.09101453934447677</v>
      </c>
      <c r="G53" s="66">
        <f t="shared" si="1"/>
        <v>2.4514058639902228</v>
      </c>
    </row>
    <row r="54" spans="4:7" ht="12">
      <c r="D54" s="61">
        <v>10</v>
      </c>
      <c r="E54" s="36">
        <f>IF(System!$A$3=1,System!$C29,IF(System!$A$3=2,System!$D29,IF(System!$A$3=3,System!$E29,IF(System!$A$3=4,System!$F29,IF(System!$A$3=5,System!$G29,"Error")))))</f>
        <v>44</v>
      </c>
      <c r="F54" s="68">
        <f t="shared" si="0"/>
        <v>0.07354522320249071</v>
      </c>
      <c r="G54" s="66">
        <f t="shared" si="1"/>
        <v>2.6411778854319414</v>
      </c>
    </row>
    <row r="55" spans="4:7" ht="12">
      <c r="D55" s="61">
        <v>11</v>
      </c>
      <c r="E55" s="36">
        <f>IF(System!$A$3=1,System!$C30,IF(System!$A$3=2,System!$D30,IF(System!$A$3=3,System!$E30,IF(System!$A$3=4,System!$F30,IF(System!$A$3=5,System!$G30,"Error")))))</f>
        <v>50</v>
      </c>
      <c r="F55" s="68">
        <f t="shared" si="0"/>
        <v>0.05587315250910719</v>
      </c>
      <c r="G55" s="66">
        <f t="shared" si="1"/>
        <v>2.2801514059605412</v>
      </c>
    </row>
    <row r="56" spans="4:7" ht="12">
      <c r="D56" s="61">
        <v>12</v>
      </c>
      <c r="E56" s="36">
        <f>IF(System!$A$3=1,System!$C31,IF(System!$A$3=2,System!$D31,IF(System!$A$3=3,System!$E31,IF(System!$A$3=4,System!$F31,IF(System!$A$3=5,System!$G31,"Error")))))</f>
        <v>55</v>
      </c>
      <c r="F56" s="68">
        <f t="shared" si="0"/>
        <v>0.0399422469802963</v>
      </c>
      <c r="G56" s="66">
        <f t="shared" si="1"/>
        <v>1.7930222865794265</v>
      </c>
    </row>
    <row r="57" spans="4:7" ht="12">
      <c r="D57" s="61">
        <v>13</v>
      </c>
      <c r="E57" s="36">
        <f>IF(System!$A$3=1,System!$C32,IF(System!$A$3=2,System!$D32,IF(System!$A$3=3,System!$E32,IF(System!$A$3=4,System!$F32,IF(System!$A$3=5,System!$G32,"Error")))))</f>
        <v>58</v>
      </c>
      <c r="F57" s="68">
        <f t="shared" si="0"/>
        <v>0.026879307306709954</v>
      </c>
      <c r="G57" s="66">
        <f t="shared" si="1"/>
        <v>1.2724378276402828</v>
      </c>
    </row>
    <row r="58" spans="4:7" ht="12">
      <c r="D58" s="61">
        <v>14</v>
      </c>
      <c r="E58" s="36">
        <f>IF(System!$A$3=1,System!$C33,IF(System!$A$3=2,System!$D33,IF(System!$A$3=3,System!$E33,IF(System!$A$3=4,System!$F33,IF(System!$A$3=5,System!$G33,"Error")))))</f>
        <v>62</v>
      </c>
      <c r="F58" s="68">
        <f t="shared" si="0"/>
        <v>0.017029466833330904</v>
      </c>
      <c r="G58" s="66">
        <f t="shared" si="1"/>
        <v>0.8617538771093397</v>
      </c>
    </row>
    <row r="59" spans="4:7" ht="12">
      <c r="D59" s="61">
        <v>15</v>
      </c>
      <c r="E59" s="36">
        <f>IF(System!$A$3=1,System!$C34,IF(System!$A$3=2,System!$D34,IF(System!$A$3=3,System!$E34,IF(System!$A$3=4,System!$F34,IF(System!$A$3=5,System!$G34,"Error")))))</f>
        <v>64</v>
      </c>
      <c r="F59" s="68">
        <f t="shared" si="0"/>
        <v>0.010156173303581153</v>
      </c>
      <c r="G59" s="66">
        <f t="shared" si="1"/>
        <v>0.5305185603580003</v>
      </c>
    </row>
    <row r="60" spans="4:7" ht="12">
      <c r="D60" s="61">
        <v>16</v>
      </c>
      <c r="E60" s="36">
        <f>IF(System!$A$3=1,System!$C35,IF(System!$A$3=2,System!$D35,IF(System!$A$3=3,System!$E35,IF(System!$A$3=4,System!$F35,IF(System!$A$3=5,System!$G35,"Error")))))</f>
        <v>66</v>
      </c>
      <c r="F60" s="68">
        <f t="shared" si="0"/>
        <v>0.005700190042013812</v>
      </c>
      <c r="G60" s="66">
        <f t="shared" si="1"/>
        <v>0.30706037508938544</v>
      </c>
    </row>
    <row r="61" spans="4:7" ht="12">
      <c r="D61" s="61">
        <v>17</v>
      </c>
      <c r="E61" s="36">
        <f>IF(System!$A$3=1,System!$C36,IF(System!$A$3=2,System!$D36,IF(System!$A$3=3,System!$E36,IF(System!$A$3=4,System!$F36,IF(System!$A$3=5,System!$G36,"Error")))))</f>
        <v>65</v>
      </c>
      <c r="F61" s="68">
        <f t="shared" si="0"/>
        <v>0.0030096589014913045</v>
      </c>
      <c r="G61" s="66">
        <f t="shared" si="1"/>
        <v>0.15966919652425257</v>
      </c>
    </row>
    <row r="62" spans="4:7" ht="12">
      <c r="D62" s="61">
        <v>18</v>
      </c>
      <c r="E62" s="36">
        <f>IF(System!$A$3=1,System!$C37,IF(System!$A$3=2,System!$D37,IF(System!$A$3=3,System!$E37,IF(System!$A$3=4,System!$F37,IF(System!$A$3=5,System!$G37,"Error")))))</f>
        <v>64</v>
      </c>
      <c r="F62" s="68">
        <f t="shared" si="0"/>
        <v>0.0014942391240809808</v>
      </c>
      <c r="G62" s="66">
        <f t="shared" si="1"/>
        <v>0.07805317664858287</v>
      </c>
    </row>
    <row r="63" spans="4:7" ht="12">
      <c r="D63" s="61">
        <v>19</v>
      </c>
      <c r="E63" s="36">
        <f>IF(System!$A$3=1,System!$C38,IF(System!$A$3=2,System!$D38,IF(System!$A$3=3,System!$E38,IF(System!$A$3=4,System!$F38,IF(System!$A$3=5,System!$G38,"Error")))))</f>
        <v>64</v>
      </c>
      <c r="F63" s="68">
        <f t="shared" si="0"/>
        <v>0.0006972379215722803</v>
      </c>
      <c r="G63" s="66">
        <f t="shared" si="1"/>
        <v>0.03642096755567388</v>
      </c>
    </row>
    <row r="64" spans="4:7" ht="12">
      <c r="D64" s="61">
        <v>20</v>
      </c>
      <c r="E64" s="36">
        <f>IF(System!$A$3=1,System!$C39,IF(System!$A$3=2,System!$D39,IF(System!$A$3=3,System!$E39,IF(System!$A$3=4,System!$F39,IF(System!$A$3=5,System!$G39,"Error")))))</f>
        <v>64</v>
      </c>
      <c r="F64" s="68">
        <f t="shared" si="0"/>
        <v>0.00030560954896146627</v>
      </c>
      <c r="G64" s="66">
        <f t="shared" si="1"/>
        <v>0.015963841212666776</v>
      </c>
    </row>
    <row r="65" spans="4:7" ht="12">
      <c r="D65" s="61">
        <v>21</v>
      </c>
      <c r="E65" s="36">
        <f>IF(System!$A$3=1,System!$C40,IF(System!$A$3=2,System!$D40,IF(System!$A$3=3,System!$E40,IF(System!$A$3=4,System!$F40,IF(System!$A$3=5,System!$G40,"Error")))))</f>
        <v>63</v>
      </c>
      <c r="F65" s="68">
        <f t="shared" si="0"/>
        <v>0.0001257573890469175</v>
      </c>
      <c r="G65" s="66">
        <f t="shared" si="1"/>
        <v>0.006466429795994261</v>
      </c>
    </row>
    <row r="66" spans="4:7" ht="12">
      <c r="D66" s="61">
        <v>22</v>
      </c>
      <c r="E66" s="36">
        <f>IF(System!$A$3=1,System!$C41,IF(System!$A$3=2,System!$D41,IF(System!$A$3=3,System!$E41,IF(System!$A$3=4,System!$F41,IF(System!$A$3=5,System!$G41,"Error")))))</f>
        <v>63</v>
      </c>
      <c r="F66" s="68">
        <f t="shared" si="0"/>
        <v>4.855441812763302E-05</v>
      </c>
      <c r="G66" s="66">
        <f t="shared" si="1"/>
        <v>0.0024966623312332992</v>
      </c>
    </row>
    <row r="67" spans="4:7" ht="12">
      <c r="D67" s="61">
        <v>23</v>
      </c>
      <c r="E67" s="36">
        <f>IF(System!$A$3=1,System!$C42,IF(System!$A$3=2,System!$D42,IF(System!$A$3=3,System!$E42,IF(System!$A$3=4,System!$F42,IF(System!$A$3=5,System!$G42,"Error")))))</f>
        <v>63</v>
      </c>
      <c r="F67" s="68">
        <f t="shared" si="0"/>
        <v>1.7579060535680458E-05</v>
      </c>
      <c r="G67" s="66">
        <f t="shared" si="1"/>
        <v>0.0009039131751622291</v>
      </c>
    </row>
    <row r="68" spans="4:7" ht="12">
      <c r="D68" s="61">
        <v>24</v>
      </c>
      <c r="E68" s="36">
        <f>IF(System!$A$3=1,System!$C43,IF(System!$A$3=2,System!$D43,IF(System!$A$3=3,System!$E43,IF(System!$A$3=4,System!$F43,IF(System!$A$3=5,System!$G43,"Error")))))</f>
        <v>63</v>
      </c>
      <c r="F68" s="68">
        <f t="shared" si="0"/>
        <v>5.964503809668146E-06</v>
      </c>
      <c r="G68" s="66">
        <f t="shared" si="1"/>
        <v>0.00030669406740601186</v>
      </c>
    </row>
    <row r="69" spans="4:7" ht="12">
      <c r="D69" s="61">
        <v>25</v>
      </c>
      <c r="E69" s="36">
        <f>IF(System!$A$3=1,System!$C44,IF(System!$A$3=2,System!$D44,IF(System!$A$3=3,System!$E44,IF(System!$A$3=4,System!$F44,IF(System!$A$3=5,System!$G44,"Error")))))</f>
        <v>63</v>
      </c>
      <c r="F69" s="68">
        <f t="shared" si="0"/>
        <v>1.895411079547133E-06</v>
      </c>
      <c r="G69" s="66">
        <f t="shared" si="1"/>
        <v>9.746180938814309E-05</v>
      </c>
    </row>
    <row r="70" ht="12">
      <c r="G70" s="69"/>
    </row>
    <row r="71" spans="4:7" ht="12">
      <c r="D71" t="s">
        <v>37</v>
      </c>
      <c r="F71" s="7">
        <f>SUM(F45:F69)</f>
        <v>0.9991836298963254</v>
      </c>
      <c r="G71" s="69">
        <f>SUM(G45:G69)</f>
        <v>17.24619008634486</v>
      </c>
    </row>
  </sheetData>
  <sheetProtection password="CAB3" sheet="1" objects="1" scenarios="1"/>
  <printOptions/>
  <pageMargins left="0.18" right="0.16" top="0.4" bottom="0.32" header="0.28" footer="0.19"/>
  <pageSetup fitToHeight="1" fitToWidth="1" horizontalDpi="96" verticalDpi="96" orientation="portrait"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Taylor Edwards</cp:lastModifiedBy>
  <cp:lastPrinted>2001-04-17T21:38:57Z</cp:lastPrinted>
  <dcterms:created xsi:type="dcterms:W3CDTF">2001-04-01T17:23:50Z</dcterms:created>
  <dcterms:modified xsi:type="dcterms:W3CDTF">2002-07-30T19:32:18Z</dcterms:modified>
  <cp:category/>
  <cp:version/>
  <cp:contentType/>
  <cp:contentStatus/>
</cp:coreProperties>
</file>