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2"/>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References'!$A$17</definedName>
    <definedName name="Baseline">'Assumptions &amp; References'!$B$51</definedName>
    <definedName name="BaselineCF">'Assumptions &amp; References'!$B$51</definedName>
    <definedName name="CostElec">'Assumptions &amp; References'!$B$6</definedName>
    <definedName name="Dell">'Assumptions &amp; References'!$A$19</definedName>
    <definedName name="ElecPerMon">'Assumptions &amp; References'!$B$39</definedName>
    <definedName name="ElecSave">'Assumptions &amp; References'!$B$45</definedName>
    <definedName name="Emissions">'Assumptions &amp; References'!$B$4</definedName>
    <definedName name="ESCalc">'Assumptions &amp; References'!$A$13</definedName>
    <definedName name="ESInfo">'Assumptions &amp; References'!$A$15</definedName>
    <definedName name="HP">'Assumptions &amp; References'!$A$21</definedName>
    <definedName name="InflaElec">'Assumptions &amp; References'!$B$8</definedName>
    <definedName name="IRR">'Assumptions &amp; References'!$B$55</definedName>
    <definedName name="Leno">'Assumptions &amp; References'!$A$23</definedName>
    <definedName name="Manufacturers">'Projected Savings'!$H$4</definedName>
    <definedName name="PredCostElec">'Assumptions &amp; References'!$B$49</definedName>
    <definedName name="Recommendations">'Assumptions &amp; References'!$B$58</definedName>
    <definedName name="RedEm">'Assumptions &amp; References'!$B$47</definedName>
    <definedName name="RefCostElec">'Assumptions &amp; References'!$A$27</definedName>
    <definedName name="RefEmissions">'Assumptions &amp; References'!$A$25</definedName>
    <definedName name="RefInflaElec">'Assumptions &amp; References'!$A$29</definedName>
    <definedName name="TotElec">'Assumptions &amp; References'!$B$41</definedName>
    <definedName name="YearlyCF">'Assumptions &amp; References'!$B$53</definedName>
  </definedNames>
  <calcPr fullCalcOnLoad="1"/>
</workbook>
</file>

<file path=xl/sharedStrings.xml><?xml version="1.0" encoding="utf-8"?>
<sst xmlns="http://schemas.openxmlformats.org/spreadsheetml/2006/main" count="644" uniqueCount="232">
  <si>
    <t>Manufacturer</t>
  </si>
  <si>
    <t>Model</t>
  </si>
  <si>
    <t>Off (W)</t>
  </si>
  <si>
    <t>Sleep (W)</t>
  </si>
  <si>
    <t>On (W)</t>
  </si>
  <si>
    <t>Price</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</si>
  <si>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</si>
  <si>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</si>
  <si>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</si>
  <si>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</si>
  <si>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</si>
  <si>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</si>
  <si>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</si>
  <si>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</si>
  <si>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</si>
  <si>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</si>
  <si>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</si>
  <si>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</si>
  <si>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</si>
  <si>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</si>
  <si>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</si>
  <si>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</si>
  <si>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</si>
  <si>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</si>
  <si>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</si>
  <si>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</si>
  <si>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</si>
  <si>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</si>
  <si>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</si>
  <si>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</si>
  <si>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</si>
  <si>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</si>
  <si>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</si>
  <si>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</si>
  <si>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</si>
  <si>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</si>
  <si>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</si>
  <si>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</si>
  <si>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</si>
  <si>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</si>
  <si>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</si>
  <si>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</si>
  <si>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</si>
  <si>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</si>
  <si>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</si>
  <si>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</si>
  <si>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</si>
  <si>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</si>
  <si>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</si>
  <si>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</si>
  <si>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</si>
  <si>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</si>
  <si>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</si>
  <si>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</si>
  <si>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</si>
  <si>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</si>
  <si>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</si>
  <si>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</si>
  <si>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</si>
  <si>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</si>
  <si>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</si>
  <si>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</si>
  <si>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</si>
  <si>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</si>
  <si>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</si>
  <si>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</si>
  <si>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</si>
  <si>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</si>
  <si>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</si>
  <si>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</si>
  <si>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</si>
  <si>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</si>
  <si>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</si>
  <si>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</si>
  <si>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</si>
  <si>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</si>
  <si>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</si>
  <si>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</si>
  <si>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</si>
  <si>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</si>
  <si>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</si>
  <si>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</si>
  <si>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</si>
  <si>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</si>
  <si>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</si>
  <si>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</si>
  <si>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</si>
  <si>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</si>
  <si>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</si>
  <si>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</si>
  <si>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</si>
  <si>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</si>
  <si>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</si>
  <si>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</si>
  <si>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</si>
  <si>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</si>
  <si>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Number of Monitors</t>
  </si>
  <si>
    <t>days</t>
  </si>
  <si>
    <t>Yr 2</t>
  </si>
  <si>
    <t>Yr 3</t>
  </si>
  <si>
    <t>Yr 4</t>
  </si>
  <si>
    <t>Yr 5</t>
  </si>
  <si>
    <t>Inflation of Electricity</t>
  </si>
  <si>
    <t>%</t>
  </si>
  <si>
    <t>Yr 1</t>
  </si>
  <si>
    <t>kW/year</t>
  </si>
  <si>
    <t>Working days/year</t>
  </si>
  <si>
    <t>Proposed Monitor Hours</t>
  </si>
  <si>
    <t>Current kW/year</t>
  </si>
  <si>
    <t>Yearly Cash Flow</t>
  </si>
  <si>
    <t>IRR</t>
  </si>
  <si>
    <t>Use Time</t>
  </si>
  <si>
    <t>Company Information</t>
  </si>
  <si>
    <t>Electricity Costs</t>
  </si>
  <si>
    <t>Notes:</t>
  </si>
  <si>
    <t>Year</t>
  </si>
  <si>
    <t>Information from Input Page</t>
  </si>
  <si>
    <t>Cummulative</t>
  </si>
  <si>
    <t>New</t>
  </si>
  <si>
    <t>Savings</t>
  </si>
  <si>
    <t>Reduced</t>
  </si>
  <si>
    <t>kg CO2/year</t>
  </si>
  <si>
    <t>CALCUALTIONS OF CO2 REDUCTION AND IRR FOR ENERGY STAR MONITORS OF DIFFERENT SIZES</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</si>
  <si>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</si>
  <si>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</si>
  <si>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</si>
  <si>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</si>
  <si>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</si>
  <si>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</si>
  <si>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</si>
  <si>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</si>
  <si>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</si>
  <si>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</si>
  <si>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</si>
  <si>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</si>
  <si>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</si>
  <si>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</si>
  <si>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</si>
  <si>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Reduced CO2 emmisions</t>
  </si>
  <si>
    <t>kg/year</t>
  </si>
  <si>
    <t>Cash Flow</t>
  </si>
  <si>
    <t>Per year</t>
  </si>
  <si>
    <t>If you are unsure of your monitor's power consumption, use</t>
  </si>
  <si>
    <t>$/year</t>
  </si>
  <si>
    <t>Electricity use per moniter is</t>
  </si>
  <si>
    <t>17"</t>
  </si>
  <si>
    <t>18.5"</t>
  </si>
  <si>
    <t>19"</t>
  </si>
  <si>
    <t>20"</t>
  </si>
  <si>
    <t>21.5"</t>
  </si>
  <si>
    <t>22"</t>
  </si>
  <si>
    <t>23"</t>
  </si>
  <si>
    <t>24"</t>
  </si>
  <si>
    <t>Monitors are assumed to be used for 5 years and turned off on non-working days</t>
  </si>
  <si>
    <t>LCD</t>
  </si>
  <si>
    <t>CRT</t>
  </si>
  <si>
    <t>[1]</t>
  </si>
  <si>
    <t>Assumptions</t>
  </si>
  <si>
    <t>References</t>
  </si>
  <si>
    <t xml:space="preserve">"Energy Star Calc Monitor.xls" downloaded from </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</si>
  <si>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</si>
  <si>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</si>
  <si>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</si>
  <si>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</si>
  <si>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</si>
  <si>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Energy Star monitor information obtained from</t>
  </si>
  <si>
    <t>http://www.energystar.gov/index.cfm?fuseaction=find_a_product.showSearchResults&amp;pgw_code=MO&amp;pd_code=MON&amp;sortParameter=brand_name&amp;letter=ALL&amp;startnum=1&amp;resultsperpage=510</t>
  </si>
  <si>
    <t>[3]</t>
  </si>
  <si>
    <t>[4]</t>
  </si>
  <si>
    <t>[5]</t>
  </si>
  <si>
    <t>[6]</t>
  </si>
  <si>
    <t>Acer monitor pricing obtained from</t>
  </si>
  <si>
    <t>Dell monitor pricing obtained from</t>
  </si>
  <si>
    <t>Lenovo monitor pricing obtained from</t>
  </si>
  <si>
    <t>http://accessories.us.dell.com/sna/category.aspx?category_id=4009&amp;c=ca&amp;l=en&amp;s=bsd</t>
  </si>
  <si>
    <t>HP-Compaq monitor pricing obtained from</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</si>
  <si>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</si>
  <si>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</si>
  <si>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</si>
  <si>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</si>
  <si>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</si>
  <si>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</si>
  <si>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</si>
  <si>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</si>
  <si>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Commercial cost of electricity obtained from</t>
  </si>
  <si>
    <t>CO2 produced from energy consumption obtained from</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</si>
  <si>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</si>
  <si>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</si>
  <si>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</si>
  <si>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</si>
  <si>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</si>
  <si>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Please note that while some of the larger monitors cannot be paid back during their lifetime from savings alone, they will significantly reduce your power consumption.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</si>
  <si>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</si>
  <si>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</si>
  <si>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</si>
  <si>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</si>
  <si>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</si>
  <si>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</si>
  <si>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Monitors use the majority of the power required to run a computer workstation. 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</si>
  <si>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Equations</t>
  </si>
  <si>
    <t>Inflation of electricity obtained from</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</si>
  <si>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</si>
  <si>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</si>
  <si>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</si>
  <si>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</si>
  <si>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</si>
  <si>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</si>
  <si>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</si>
  <si>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</si>
  <si>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</si>
  <si>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</si>
  <si>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</si>
  <si>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</si>
  <si>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</si>
  <si>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</si>
  <si>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</si>
  <si>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</si>
  <si>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</si>
  <si>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</si>
  <si>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</si>
  <si>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</si>
  <si>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</si>
  <si>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</si>
  <si>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</si>
  <si>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</si>
  <si>
    <t>Current Power Consumption</t>
  </si>
  <si>
    <t>Current Monitor Use Time</t>
  </si>
  <si>
    <t>3 years</t>
  </si>
  <si>
    <t>Proposed Change *</t>
  </si>
  <si>
    <t>* If you do not intend to change your monitor use time, re-enter your current monitor use time values in the blue boxes</t>
  </si>
  <si>
    <t>(Under 50kW)</t>
  </si>
  <si>
    <t>*Cummulative cash flows for monitors with maximum IRR values can be found lower on this sheet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</si>
</sst>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s>
  <fonts count="62">
    <font>
      <sz val="11"/>
      <color theme="1"/>
      <name val="Calibri"/>
      <family val="2"/>
    </font>
    <font>
      <sz val="11"/>
      <color indexed="8"/>
      <name val="Calibri"/>
      <family val="2"/>
    </font>
    <font>
      <sz val="10"/>
      <color indexed="8"/>
      <name val="Calibri"/>
      <family val="0"/>
    </font>
    <font>
      <u val="single"/>
      <sz val="11"/>
      <color indexed="12"/>
      <name val="Calibri"/>
      <family val="2"/>
    </font>
    <font>
      <b/>
      <u val="single"/>
      <sz val="11"/>
      <color indexed="8"/>
      <name val="Calibri"/>
      <family val="2"/>
    </font>
    <font>
      <u val="single"/>
      <sz val="11"/>
      <color indexed="8"/>
      <name val="Calibri"/>
      <family val="2"/>
    </font>
    <font>
      <b/>
      <sz val="11"/>
      <color indexed="8"/>
      <name val="Calibri"/>
      <family val="2"/>
    </font>
    <font>
      <b/>
      <sz val="18"/>
      <color indexed="8"/>
      <name val="Calibri"/>
      <family val="2"/>
    </font>
    <font>
      <b/>
      <u val="single"/>
      <sz val="12"/>
      <color indexed="8"/>
      <name val="Calibri"/>
      <family val="2"/>
    </font>
    <font>
      <b/>
      <sz val="12"/>
      <color indexed="8"/>
      <name val="Calibri"/>
      <family val="2"/>
    </font>
    <font>
      <sz val="16"/>
      <color indexed="8"/>
      <name val="Calibri"/>
      <family val="2"/>
    </font>
    <font>
      <sz val="18"/>
      <color indexed="8"/>
      <name val="Calibri"/>
      <family val="2"/>
    </font>
    <font>
      <sz val="14"/>
      <color indexed="8"/>
      <name val="Calibri"/>
      <family val="2"/>
    </font>
    <font>
      <i/>
      <sz val="11"/>
      <color indexed="8"/>
      <name val="Calibri"/>
      <family val="2"/>
    </font>
    <font>
      <i/>
      <u val="single"/>
      <sz val="11"/>
      <color indexed="12"/>
      <name val="Calibri"/>
      <family val="2"/>
    </font>
    <font>
      <sz val="15"/>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8"/>
      <color theme="1"/>
      <name val="Calibri"/>
      <family val="2"/>
    </font>
    <font>
      <b/>
      <u val="single"/>
      <sz val="12"/>
      <color theme="1"/>
      <name val="Calibri"/>
      <family val="2"/>
    </font>
    <font>
      <b/>
      <sz val="12"/>
      <color theme="1"/>
      <name val="Calibri"/>
      <family val="2"/>
    </font>
    <font>
      <sz val="16"/>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thin"/>
      <right/>
      <top style="thin"/>
      <bottom/>
    </border>
    <border>
      <left/>
      <right/>
      <top style="thin"/>
      <bottom/>
    </border>
    <border>
      <left>
        <color indexed="63"/>
      </left>
      <right>
        <color indexed="63"/>
      </right>
      <top style="thin"/>
      <bottom style="thin"/>
    </border>
    <border>
      <left style="thin"/>
      <right style="thin"/>
      <top/>
      <bottom style="thin"/>
    </border>
    <border>
      <left style="thin"/>
      <right style="medium"/>
      <top style="medium"/>
      <bottom/>
    </border>
    <border>
      <left style="medium"/>
      <right/>
      <top style="thin"/>
      <bottom style="thin"/>
    </border>
    <border>
      <left style="thin"/>
      <right style="medium"/>
      <top/>
      <bottom/>
    </border>
    <border>
      <left style="medium"/>
      <right/>
      <top/>
      <bottom style="thin"/>
    </border>
    <border>
      <left/>
      <right style="thin"/>
      <top style="thin"/>
      <bottom style="thin"/>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0">
    <xf numFmtId="0" fontId="0" fillId="0" borderId="0" xfId="0" applyFont="1" applyAlignment="1">
      <alignment/>
    </xf>
    <xf numFmtId="0" fontId="0" fillId="16" borderId="0" xfId="0" applyFill="1" applyAlignment="1">
      <alignment/>
    </xf>
    <xf numFmtId="0" fontId="51" fillId="0" borderId="0" xfId="0" applyFont="1" applyAlignment="1">
      <alignment/>
    </xf>
    <xf numFmtId="165"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2" fillId="16" borderId="0" xfId="0" applyFont="1" applyFill="1" applyAlignment="1">
      <alignment/>
    </xf>
    <xf numFmtId="0" fontId="49" fillId="0" borderId="0" xfId="0" applyFont="1" applyAlignment="1">
      <alignment/>
    </xf>
    <xf numFmtId="0" fontId="52" fillId="19" borderId="0" xfId="0" applyFont="1" applyFill="1" applyAlignment="1">
      <alignment/>
    </xf>
    <xf numFmtId="0" fontId="51"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2"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2"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65" fontId="0" fillId="0" borderId="19" xfId="0" applyNumberFormat="1" applyBorder="1" applyAlignment="1">
      <alignment/>
    </xf>
    <xf numFmtId="165" fontId="0" fillId="19" borderId="19" xfId="0" applyNumberFormat="1" applyFill="1" applyBorder="1" applyAlignment="1">
      <alignment/>
    </xf>
    <xf numFmtId="165" fontId="0" fillId="19" borderId="0" xfId="0" applyNumberFormat="1" applyFill="1" applyAlignment="1">
      <alignment/>
    </xf>
    <xf numFmtId="0" fontId="0" fillId="11" borderId="0" xfId="0" applyFill="1" applyAlignment="1">
      <alignment/>
    </xf>
    <xf numFmtId="166" fontId="0" fillId="19" borderId="19" xfId="0" applyNumberFormat="1" applyFill="1" applyBorder="1" applyAlignment="1">
      <alignment/>
    </xf>
    <xf numFmtId="166" fontId="0" fillId="0" borderId="19" xfId="0" applyNumberFormat="1" applyBorder="1" applyAlignment="1">
      <alignment/>
    </xf>
    <xf numFmtId="166" fontId="0" fillId="0" borderId="0" xfId="0" applyNumberFormat="1" applyAlignment="1">
      <alignment/>
    </xf>
    <xf numFmtId="166"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65"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65"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49"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64" fontId="0" fillId="0" borderId="0" xfId="0" applyNumberFormat="1" applyFill="1" applyBorder="1" applyAlignment="1">
      <alignment/>
    </xf>
    <xf numFmtId="164"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3" fillId="12" borderId="10" xfId="0" applyFont="1" applyFill="1" applyBorder="1" applyAlignment="1">
      <alignment/>
    </xf>
    <xf numFmtId="0" fontId="0" fillId="12" borderId="11" xfId="0" applyFill="1" applyBorder="1" applyAlignment="1">
      <alignment/>
    </xf>
    <xf numFmtId="0" fontId="0" fillId="12" borderId="12" xfId="0" applyFill="1" applyBorder="1" applyAlignment="1">
      <alignment/>
    </xf>
    <xf numFmtId="0" fontId="0" fillId="19" borderId="0" xfId="0" applyFill="1" applyAlignment="1">
      <alignment horizontal="right"/>
    </xf>
    <xf numFmtId="0" fontId="0" fillId="0" borderId="0" xfId="0" applyAlignment="1">
      <alignment horizontal="right"/>
    </xf>
    <xf numFmtId="0" fontId="0" fillId="0" borderId="0" xfId="0" applyFont="1" applyFill="1" applyBorder="1" applyAlignment="1">
      <alignment/>
    </xf>
    <xf numFmtId="165" fontId="0" fillId="0" borderId="0" xfId="0" applyNumberFormat="1" applyFill="1" applyBorder="1" applyAlignment="1">
      <alignment/>
    </xf>
    <xf numFmtId="0" fontId="0" fillId="17" borderId="24" xfId="0" applyFon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4" fillId="12" borderId="11" xfId="0" applyFont="1" applyFill="1" applyBorder="1" applyAlignment="1">
      <alignment/>
    </xf>
    <xf numFmtId="0" fontId="55"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3" xfId="0" applyFill="1" applyBorder="1" applyAlignment="1">
      <alignment/>
    </xf>
    <xf numFmtId="0" fontId="51"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51" fillId="33" borderId="29" xfId="0" applyFont="1" applyFill="1" applyBorder="1" applyAlignment="1">
      <alignment/>
    </xf>
    <xf numFmtId="0" fontId="0" fillId="33" borderId="0" xfId="0" applyFill="1" applyAlignment="1">
      <alignment vertical="top"/>
    </xf>
    <xf numFmtId="0" fontId="54" fillId="12" borderId="12" xfId="0" applyFont="1" applyFill="1" applyBorder="1" applyAlignment="1">
      <alignment/>
    </xf>
    <xf numFmtId="0" fontId="49" fillId="33" borderId="0" xfId="0" applyFont="1" applyFill="1" applyAlignment="1">
      <alignment/>
    </xf>
    <xf numFmtId="0" fontId="56" fillId="33" borderId="0" xfId="0" applyNumberFormat="1" applyFont="1" applyFill="1" applyBorder="1" applyAlignment="1">
      <alignment horizontal="left" vertical="top" wrapText="1"/>
    </xf>
    <xf numFmtId="0" fontId="53" fillId="18" borderId="10" xfId="0" applyFont="1" applyFill="1" applyBorder="1" applyAlignment="1">
      <alignment/>
    </xf>
    <xf numFmtId="0" fontId="53" fillId="18" borderId="11" xfId="0" applyFont="1" applyFill="1" applyBorder="1" applyAlignment="1">
      <alignment/>
    </xf>
    <xf numFmtId="0" fontId="57" fillId="18" borderId="11" xfId="0" applyFont="1" applyFill="1" applyBorder="1" applyAlignment="1">
      <alignment/>
    </xf>
    <xf numFmtId="0" fontId="57" fillId="18" borderId="12" xfId="0" applyFont="1" applyFill="1" applyBorder="1" applyAlignment="1">
      <alignment/>
    </xf>
    <xf numFmtId="0" fontId="58" fillId="33" borderId="29" xfId="0" applyFont="1" applyFill="1" applyBorder="1" applyAlignment="1">
      <alignment horizontal="center" vertical="top" wrapText="1"/>
    </xf>
    <xf numFmtId="0" fontId="58" fillId="33" borderId="25" xfId="0" applyFont="1" applyFill="1" applyBorder="1" applyAlignment="1">
      <alignment horizontal="center" vertical="top" wrapText="1"/>
    </xf>
    <xf numFmtId="0" fontId="58" fillId="33" borderId="26"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3" borderId="0" xfId="0" applyFont="1" applyFill="1" applyBorder="1" applyAlignment="1">
      <alignment horizontal="center" vertical="top" wrapText="1"/>
    </xf>
    <xf numFmtId="0" fontId="58" fillId="33" borderId="14" xfId="0" applyFont="1" applyFill="1" applyBorder="1" applyAlignment="1">
      <alignment horizontal="center" vertical="top" wrapText="1"/>
    </xf>
    <xf numFmtId="0" fontId="58" fillId="33" borderId="0" xfId="0" applyFont="1" applyFill="1" applyAlignment="1">
      <alignment horizontal="center" vertical="top" wrapText="1"/>
    </xf>
    <xf numFmtId="0" fontId="53" fillId="8" borderId="10" xfId="0" applyFont="1" applyFill="1" applyBorder="1" applyAlignment="1">
      <alignment/>
    </xf>
    <xf numFmtId="0" fontId="0" fillId="8" borderId="11" xfId="0" applyFill="1" applyBorder="1" applyAlignment="1">
      <alignment/>
    </xf>
    <xf numFmtId="0" fontId="0" fillId="8" borderId="12" xfId="0" applyFill="1" applyBorder="1" applyAlignment="1">
      <alignment/>
    </xf>
    <xf numFmtId="2" fontId="0" fillId="0" borderId="0" xfId="0" applyNumberFormat="1" applyFill="1" applyAlignment="1">
      <alignment/>
    </xf>
    <xf numFmtId="0" fontId="43" fillId="0" borderId="18" xfId="53" applyBorder="1" applyAlignment="1" applyProtection="1">
      <alignment/>
      <protection/>
    </xf>
    <xf numFmtId="0" fontId="43" fillId="0" borderId="19" xfId="53" applyBorder="1" applyAlignment="1" applyProtection="1">
      <alignment/>
      <protection/>
    </xf>
    <xf numFmtId="0" fontId="43" fillId="0" borderId="20" xfId="53" applyBorder="1" applyAlignment="1" applyProtection="1">
      <alignment/>
      <protection/>
    </xf>
    <xf numFmtId="0" fontId="43" fillId="0" borderId="0" xfId="53" applyAlignment="1" applyProtection="1">
      <alignment/>
      <protection/>
    </xf>
    <xf numFmtId="0" fontId="43" fillId="19" borderId="16" xfId="53" applyFill="1" applyBorder="1" applyAlignment="1" applyProtection="1">
      <alignment/>
      <protection/>
    </xf>
    <xf numFmtId="0" fontId="43" fillId="19" borderId="13" xfId="53" applyFill="1" applyBorder="1" applyAlignment="1" applyProtection="1">
      <alignment/>
      <protection/>
    </xf>
    <xf numFmtId="0" fontId="43" fillId="16" borderId="13" xfId="53" applyFill="1" applyBorder="1" applyAlignment="1" applyProtection="1">
      <alignment/>
      <protection/>
    </xf>
    <xf numFmtId="0" fontId="43" fillId="16" borderId="15" xfId="53" applyFill="1" applyBorder="1" applyAlignment="1" applyProtection="1">
      <alignment/>
      <protection/>
    </xf>
    <xf numFmtId="0" fontId="43" fillId="16" borderId="0" xfId="53" applyFill="1" applyAlignment="1" applyProtection="1">
      <alignment/>
      <protection/>
    </xf>
    <xf numFmtId="0" fontId="43" fillId="19" borderId="0" xfId="53" applyFill="1" applyAlignment="1" applyProtection="1">
      <alignment/>
      <protection/>
    </xf>
    <xf numFmtId="0" fontId="43" fillId="0" borderId="19" xfId="53" applyFill="1" applyBorder="1" applyAlignment="1" applyProtection="1">
      <alignment/>
      <protection/>
    </xf>
    <xf numFmtId="0" fontId="51" fillId="19" borderId="0" xfId="0" applyFont="1" applyFill="1" applyAlignment="1">
      <alignment/>
    </xf>
    <xf numFmtId="0" fontId="52" fillId="11" borderId="30" xfId="0" applyFont="1" applyFill="1" applyBorder="1" applyAlignment="1">
      <alignment/>
    </xf>
    <xf numFmtId="0" fontId="0" fillId="11" borderId="31"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3" fillId="11" borderId="21" xfId="53" applyFill="1" applyBorder="1" applyAlignment="1" applyProtection="1">
      <alignment/>
      <protection/>
    </xf>
    <xf numFmtId="0" fontId="0" fillId="11" borderId="24" xfId="0" applyNumberFormat="1" applyFill="1" applyBorder="1" applyAlignment="1">
      <alignment/>
    </xf>
    <xf numFmtId="0" fontId="51" fillId="19" borderId="0" xfId="0" applyFont="1" applyFill="1" applyAlignment="1">
      <alignment vertical="top"/>
    </xf>
    <xf numFmtId="0" fontId="0" fillId="19" borderId="0" xfId="0" applyFill="1" applyAlignment="1">
      <alignment vertical="top"/>
    </xf>
    <xf numFmtId="0" fontId="0" fillId="11" borderId="30" xfId="0" applyFill="1" applyBorder="1" applyAlignment="1">
      <alignment vertical="top"/>
    </xf>
    <xf numFmtId="0" fontId="0" fillId="11" borderId="31" xfId="0" applyFill="1" applyBorder="1" applyAlignment="1">
      <alignment vertical="top"/>
    </xf>
    <xf numFmtId="0" fontId="0" fillId="11" borderId="23" xfId="0" applyFill="1" applyBorder="1" applyAlignment="1">
      <alignment vertical="top"/>
    </xf>
    <xf numFmtId="0" fontId="0" fillId="11" borderId="30" xfId="0" applyFill="1" applyBorder="1" applyAlignment="1">
      <alignment/>
    </xf>
    <xf numFmtId="0" fontId="43" fillId="11" borderId="24" xfId="53" applyFill="1" applyBorder="1" applyAlignment="1" applyProtection="1">
      <alignment/>
      <protection/>
    </xf>
    <xf numFmtId="0" fontId="0" fillId="11" borderId="21" xfId="0" applyFill="1" applyBorder="1" applyAlignment="1">
      <alignment/>
    </xf>
    <xf numFmtId="0" fontId="51" fillId="19" borderId="30" xfId="0" applyFont="1" applyFill="1" applyBorder="1" applyAlignment="1">
      <alignment/>
    </xf>
    <xf numFmtId="0" fontId="0" fillId="19" borderId="31" xfId="0" applyFill="1" applyBorder="1" applyAlignment="1">
      <alignment/>
    </xf>
    <xf numFmtId="0" fontId="0" fillId="19" borderId="23" xfId="0" applyFill="1" applyBorder="1" applyAlignment="1">
      <alignment/>
    </xf>
    <xf numFmtId="0" fontId="49" fillId="11" borderId="30" xfId="0" applyFont="1" applyFill="1" applyBorder="1" applyAlignment="1">
      <alignment/>
    </xf>
    <xf numFmtId="0" fontId="59" fillId="11" borderId="24" xfId="0" applyFont="1" applyFill="1" applyBorder="1" applyAlignment="1">
      <alignment/>
    </xf>
    <xf numFmtId="0" fontId="59" fillId="0" borderId="0" xfId="0" applyFont="1" applyAlignment="1">
      <alignment/>
    </xf>
    <xf numFmtId="0" fontId="60" fillId="11" borderId="24" xfId="53" applyFont="1" applyFill="1" applyBorder="1" applyAlignment="1" applyProtection="1">
      <alignment/>
      <protection/>
    </xf>
    <xf numFmtId="0" fontId="59" fillId="11" borderId="22" xfId="0" applyFont="1" applyFill="1" applyBorder="1" applyAlignment="1">
      <alignment/>
    </xf>
    <xf numFmtId="0" fontId="59" fillId="11" borderId="21" xfId="0" applyFont="1" applyFill="1" applyBorder="1" applyAlignment="1">
      <alignment/>
    </xf>
    <xf numFmtId="0" fontId="59" fillId="11" borderId="31" xfId="0" applyFont="1" applyFill="1" applyBorder="1" applyAlignment="1">
      <alignment/>
    </xf>
    <xf numFmtId="166" fontId="0" fillId="19" borderId="20" xfId="0" applyNumberFormat="1" applyFill="1" applyBorder="1" applyAlignment="1">
      <alignment/>
    </xf>
    <xf numFmtId="166" fontId="0" fillId="0" borderId="20" xfId="0" applyNumberFormat="1" applyBorder="1" applyAlignment="1">
      <alignment/>
    </xf>
    <xf numFmtId="165" fontId="0" fillId="0" borderId="18" xfId="0" applyNumberFormat="1" applyBorder="1" applyAlignment="1">
      <alignment/>
    </xf>
    <xf numFmtId="165" fontId="0" fillId="19" borderId="18" xfId="0" applyNumberFormat="1" applyFill="1" applyBorder="1" applyAlignment="1">
      <alignment/>
    </xf>
    <xf numFmtId="0" fontId="43" fillId="0" borderId="0" xfId="53" applyBorder="1" applyAlignment="1" applyProtection="1">
      <alignment/>
      <protection/>
    </xf>
    <xf numFmtId="9" fontId="0" fillId="0" borderId="20" xfId="0" applyNumberFormat="1" applyBorder="1" applyAlignment="1">
      <alignment/>
    </xf>
    <xf numFmtId="9" fontId="0" fillId="19" borderId="20" xfId="0" applyNumberFormat="1" applyFill="1" applyBorder="1" applyAlignment="1">
      <alignment/>
    </xf>
    <xf numFmtId="0" fontId="43" fillId="17" borderId="0" xfId="53" applyFill="1" applyAlignment="1" applyProtection="1">
      <alignment/>
      <protection/>
    </xf>
    <xf numFmtId="0" fontId="0" fillId="17" borderId="0" xfId="0" applyFill="1" applyAlignment="1">
      <alignment/>
    </xf>
    <xf numFmtId="0" fontId="49" fillId="17" borderId="22" xfId="0" applyFont="1" applyFill="1" applyBorder="1" applyAlignment="1">
      <alignment/>
    </xf>
    <xf numFmtId="0" fontId="49" fillId="17" borderId="24" xfId="0" applyFont="1" applyFill="1" applyBorder="1" applyAlignment="1">
      <alignment/>
    </xf>
    <xf numFmtId="9" fontId="49" fillId="17" borderId="0" xfId="0" applyNumberFormat="1" applyFont="1" applyFill="1" applyAlignment="1">
      <alignment/>
    </xf>
    <xf numFmtId="165" fontId="49" fillId="11" borderId="20" xfId="0" applyNumberFormat="1" applyFont="1" applyFill="1" applyBorder="1" applyAlignment="1">
      <alignment/>
    </xf>
    <xf numFmtId="0" fontId="49" fillId="11" borderId="0" xfId="0" applyFont="1" applyFill="1" applyBorder="1" applyAlignment="1">
      <alignment/>
    </xf>
    <xf numFmtId="9" fontId="49" fillId="11" borderId="0" xfId="0" applyNumberFormat="1" applyFont="1" applyFill="1" applyAlignment="1">
      <alignment/>
    </xf>
    <xf numFmtId="0" fontId="49" fillId="11" borderId="0" xfId="0" applyFont="1" applyFill="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51" fillId="0" borderId="13" xfId="0" applyFont="1" applyFill="1" applyBorder="1" applyAlignment="1">
      <alignment/>
    </xf>
    <xf numFmtId="0" fontId="51" fillId="19" borderId="13" xfId="0" applyFont="1" applyFill="1" applyBorder="1" applyAlignment="1">
      <alignment/>
    </xf>
    <xf numFmtId="0" fontId="0" fillId="17" borderId="30" xfId="0" applyFont="1" applyFill="1" applyBorder="1" applyAlignment="1">
      <alignment/>
    </xf>
    <xf numFmtId="0" fontId="0" fillId="17" borderId="32" xfId="0" applyFont="1" applyFill="1" applyBorder="1" applyAlignment="1">
      <alignment/>
    </xf>
    <xf numFmtId="9" fontId="0" fillId="11" borderId="32" xfId="0" applyNumberFormat="1" applyFill="1" applyBorder="1" applyAlignment="1">
      <alignment/>
    </xf>
    <xf numFmtId="0" fontId="0" fillId="17" borderId="31" xfId="0" applyFont="1" applyFill="1" applyBorder="1" applyAlignment="1">
      <alignment/>
    </xf>
    <xf numFmtId="165" fontId="0" fillId="11" borderId="24" xfId="0" applyNumberFormat="1" applyFill="1" applyBorder="1" applyAlignment="1">
      <alignment/>
    </xf>
    <xf numFmtId="165" fontId="0" fillId="11" borderId="22" xfId="0" applyNumberFormat="1" applyFill="1" applyBorder="1" applyAlignment="1">
      <alignment/>
    </xf>
    <xf numFmtId="9" fontId="0" fillId="11" borderId="33" xfId="0" applyNumberFormat="1" applyFill="1" applyBorder="1" applyAlignment="1">
      <alignment/>
    </xf>
    <xf numFmtId="0" fontId="0" fillId="0" borderId="34" xfId="0" applyFill="1" applyBorder="1" applyAlignment="1">
      <alignment/>
    </xf>
    <xf numFmtId="0" fontId="0" fillId="17" borderId="35" xfId="0" applyFont="1" applyFill="1" applyBorder="1" applyAlignment="1">
      <alignment/>
    </xf>
    <xf numFmtId="0" fontId="0" fillId="0" borderId="36" xfId="0" applyFill="1" applyBorder="1" applyAlignment="1">
      <alignment/>
    </xf>
    <xf numFmtId="0" fontId="0" fillId="11" borderId="37" xfId="0" applyFill="1" applyBorder="1" applyAlignment="1">
      <alignment/>
    </xf>
    <xf numFmtId="0" fontId="61" fillId="33" borderId="0" xfId="0" applyFont="1" applyFill="1" applyBorder="1" applyAlignment="1">
      <alignment horizontal="left" vertical="top" wrapText="1"/>
    </xf>
    <xf numFmtId="0" fontId="49" fillId="33" borderId="0" xfId="0" applyFont="1" applyFill="1" applyAlignment="1">
      <alignment vertical="center" wrapText="1"/>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43" fillId="11" borderId="24" xfId="53" applyFill="1" applyBorder="1" applyAlignment="1" applyProtection="1">
      <alignment/>
      <protection/>
    </xf>
    <xf numFmtId="0" fontId="43" fillId="11" borderId="22" xfId="53" applyFill="1" applyBorder="1" applyAlignment="1" applyProtection="1">
      <alignment/>
      <protection/>
    </xf>
    <xf numFmtId="0" fontId="43" fillId="11" borderId="21" xfId="53" applyFill="1" applyBorder="1" applyAlignment="1" applyProtection="1">
      <alignment/>
      <protection/>
    </xf>
    <xf numFmtId="0" fontId="59" fillId="11" borderId="24" xfId="0" applyFont="1" applyFill="1" applyBorder="1" applyAlignment="1">
      <alignment horizontal="left" vertical="top" wrapText="1"/>
    </xf>
    <xf numFmtId="0" fontId="59" fillId="11" borderId="22" xfId="0" applyFont="1" applyFill="1" applyBorder="1" applyAlignment="1">
      <alignment horizontal="left" vertical="top" wrapText="1"/>
    </xf>
    <xf numFmtId="0" fontId="59"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43" fillId="11" borderId="24" xfId="53" applyFill="1" applyBorder="1" applyAlignment="1" applyProtection="1">
      <alignment horizontal="left" vertical="top" wrapText="1"/>
      <protection/>
    </xf>
    <xf numFmtId="0" fontId="0" fillId="11" borderId="22" xfId="0" applyFill="1" applyBorder="1" applyAlignment="1">
      <alignment horizontal="left" vertical="top" wrapText="1"/>
    </xf>
    <xf numFmtId="0" fontId="0" fillId="11" borderId="21" xfId="0" applyFill="1" applyBorder="1" applyAlignment="1">
      <alignment horizontal="left" vertical="top" wrapText="1"/>
    </xf>
    <xf numFmtId="9" fontId="0" fillId="11" borderId="22" xfId="0" applyNumberFormat="1" applyFill="1" applyBorder="1" applyAlignment="1">
      <alignment/>
    </xf>
    <xf numFmtId="0" fontId="0" fillId="17" borderId="38" xfId="0" applyFont="1" applyFill="1" applyBorder="1" applyAlignment="1">
      <alignment/>
    </xf>
    <xf numFmtId="0" fontId="0" fillId="17" borderId="39" xfId="0" applyFont="1" applyFill="1" applyBorder="1" applyAlignment="1">
      <alignment/>
    </xf>
    <xf numFmtId="0" fontId="0" fillId="17" borderId="4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75"/>
          <c:y val="-0.01075"/>
        </c:manualLayout>
      </c:layout>
      <c:spPr>
        <a:noFill/>
        <a:ln w="3175">
          <a:noFill/>
        </a:ln>
      </c:spPr>
    </c:title>
    <c:plotArea>
      <c:layout>
        <c:manualLayout>
          <c:xMode val="edge"/>
          <c:yMode val="edge"/>
          <c:x val="0.0635"/>
          <c:y val="0.14375"/>
          <c:w val="0.7835"/>
          <c:h val="0.7807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Savings'!$I$109:$I$114</c:f>
              <c:numCache>
                <c:ptCount val="6"/>
                <c:pt idx="0">
                  <c:v>-695</c:v>
                </c:pt>
                <c:pt idx="1">
                  <c:v>-508.03467584</c:v>
                </c:pt>
                <c:pt idx="2">
                  <c:v>-317.3300451967999</c:v>
                </c:pt>
                <c:pt idx="3">
                  <c:v>-122.81132194073587</c:v>
                </c:pt>
                <c:pt idx="4">
                  <c:v>75.59777578044944</c:v>
                </c:pt>
                <c:pt idx="5">
                  <c:v>277.9750554560585</c:v>
                </c:pt>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ptCount val="6"/>
                <c:pt idx="0">
                  <c:v>-595</c:v>
                </c:pt>
                <c:pt idx="1">
                  <c:v>-407.45040112000004</c:v>
                </c:pt>
                <c:pt idx="2">
                  <c:v>-216.14981026240002</c:v>
                </c:pt>
                <c:pt idx="3">
                  <c:v>-21.023207587648017</c:v>
                </c:pt>
                <c:pt idx="4">
                  <c:v>178.00592714059903</c:v>
                </c:pt>
                <c:pt idx="5">
                  <c:v>381.015644563411</c:v>
                </c:pt>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ptCount val="6"/>
                <c:pt idx="0">
                  <c:v>-845</c:v>
                </c:pt>
                <c:pt idx="1">
                  <c:v>-657.8673245599999</c:v>
                </c:pt>
                <c:pt idx="2">
                  <c:v>-466.99199561119985</c:v>
                </c:pt>
                <c:pt idx="3">
                  <c:v>-272.29916008342377</c:v>
                </c:pt>
                <c:pt idx="4">
                  <c:v>-73.71246784509219</c:v>
                </c:pt>
                <c:pt idx="5">
                  <c:v>128.84595823800603</c:v>
                </c:pt>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ptCount val="6"/>
                <c:pt idx="0">
                  <c:v>-695</c:v>
                </c:pt>
                <c:pt idx="1">
                  <c:v>-508.42627568</c:v>
                </c:pt>
                <c:pt idx="2">
                  <c:v>-318.1210768735999</c:v>
                </c:pt>
                <c:pt idx="3">
                  <c:v>-124.00977409107188</c:v>
                </c:pt>
                <c:pt idx="4">
                  <c:v>73.98375474710673</c:v>
                </c:pt>
                <c:pt idx="5">
                  <c:v>275.93715416204896</c:v>
                </c:pt>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ptCount val="6"/>
                <c:pt idx="0">
                  <c:v>-945</c:v>
                </c:pt>
                <c:pt idx="1">
                  <c:v>-759.6959039999999</c:v>
                </c:pt>
                <c:pt idx="2">
                  <c:v>-570.6857260799999</c:v>
                </c:pt>
                <c:pt idx="3">
                  <c:v>-377.89534460159985</c:v>
                </c:pt>
                <c:pt idx="4">
                  <c:v>-181.24915549363183</c:v>
                </c:pt>
                <c:pt idx="5">
                  <c:v>19.32995739649556</c:v>
                </c:pt>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ptCount val="6"/>
                <c:pt idx="0">
                  <c:v>-895</c:v>
                </c:pt>
                <c:pt idx="1">
                  <c:v>-708.3429772</c:v>
                </c:pt>
                <c:pt idx="2">
                  <c:v>-517.9528139439999</c:v>
                </c:pt>
                <c:pt idx="3">
                  <c:v>-323.75484742287983</c:v>
                </c:pt>
                <c:pt idx="4">
                  <c:v>-125.67292157133738</c:v>
                </c:pt>
                <c:pt idx="5">
                  <c:v>76.37064279723592</c:v>
                </c:pt>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ptCount val="6"/>
                <c:pt idx="0">
                  <c:v>-945</c:v>
                </c:pt>
                <c:pt idx="1">
                  <c:v>-758.34955056</c:v>
                </c:pt>
                <c:pt idx="2">
                  <c:v>-567.9660921312</c:v>
                </c:pt>
                <c:pt idx="3">
                  <c:v>-373.77496453382395</c:v>
                </c:pt>
                <c:pt idx="4">
                  <c:v>-175.7000143845004</c:v>
                </c:pt>
                <c:pt idx="5">
                  <c:v>26.336434767809607</c:v>
                </c:pt>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ptCount val="7"/>
                <c:pt idx="0">
                  <c:v>-1500</c:v>
                </c:pt>
                <c:pt idx="1">
                  <c:v>-1313.36420592</c:v>
                </c:pt>
                <c:pt idx="2">
                  <c:v>-1122.9956959584</c:v>
                </c:pt>
                <c:pt idx="3">
                  <c:v>-928.8198157975678</c:v>
                </c:pt>
                <c:pt idx="4">
                  <c:v>-730.7604180335192</c:v>
                </c:pt>
                <c:pt idx="5">
                  <c:v>-528.7398323141895</c:v>
                </c:pt>
              </c:numCache>
            </c:numRef>
          </c:val>
          <c:smooth val="0"/>
        </c:ser>
        <c:marker val="1"/>
        <c:axId val="28137389"/>
        <c:axId val="51909910"/>
      </c:lineChart>
      <c:catAx>
        <c:axId val="281373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909910"/>
        <c:crosses val="autoZero"/>
        <c:auto val="1"/>
        <c:lblOffset val="100"/>
        <c:tickLblSkip val="1"/>
        <c:noMultiLvlLbl val="0"/>
      </c:catAx>
      <c:valAx>
        <c:axId val="519099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37389"/>
        <c:crossesAt val="1"/>
        <c:crossBetween val="between"/>
        <c:dispUnits/>
      </c:valAx>
      <c:spPr>
        <a:solidFill>
          <a:srgbClr val="FFFFFF"/>
        </a:solidFill>
        <a:ln w="3175">
          <a:noFill/>
        </a:ln>
      </c:spPr>
    </c:plotArea>
    <c:legend>
      <c:legendPos val="r"/>
      <c:layout>
        <c:manualLayout>
          <c:xMode val="edge"/>
          <c:yMode val="edge"/>
          <c:x val="0.8735"/>
          <c:y val="0.223"/>
          <c:w val="0.11775"/>
          <c:h val="0.6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5"/>
          <c:y val="-0.01075"/>
        </c:manualLayout>
      </c:layout>
      <c:spPr>
        <a:noFill/>
        <a:ln w="3175">
          <a:noFill/>
        </a:ln>
      </c:spPr>
    </c:title>
    <c:plotArea>
      <c:layout>
        <c:manualLayout>
          <c:xMode val="edge"/>
          <c:yMode val="edge"/>
          <c:x val="0.05175"/>
          <c:y val="0.143"/>
          <c:w val="0.82275"/>
          <c:h val="0.781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Savings'!$I$109:$I$114</c:f>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numRef>
          </c:val>
          <c:smooth val="0"/>
        </c:ser>
        <c:marker val="1"/>
        <c:axId val="29596439"/>
        <c:axId val="65041360"/>
      </c:lineChart>
      <c:catAx>
        <c:axId val="295964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041360"/>
        <c:crosses val="autoZero"/>
        <c:auto val="1"/>
        <c:lblOffset val="100"/>
        <c:tickLblSkip val="1"/>
        <c:noMultiLvlLbl val="0"/>
      </c:catAx>
      <c:valAx>
        <c:axId val="6504136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96439"/>
        <c:crossesAt val="1"/>
        <c:crossBetween val="between"/>
        <c:dispUnits/>
      </c:valAx>
      <c:spPr>
        <a:solidFill>
          <a:srgbClr val="FFFFFF"/>
        </a:solidFill>
        <a:ln w="3175">
          <a:noFill/>
        </a:ln>
      </c:spPr>
    </c:plotArea>
    <c:legend>
      <c:legendPos val="r"/>
      <c:layout>
        <c:manualLayout>
          <c:xMode val="edge"/>
          <c:yMode val="edge"/>
          <c:x val="0.897"/>
          <c:y val="0.22575"/>
          <c:w val="0.096"/>
          <c:h val="0.68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275"/>
          <c:y val="-0.00475"/>
        </c:manualLayout>
      </c:layout>
      <c:spPr>
        <a:noFill/>
        <a:ln w="3175">
          <a:noFill/>
        </a:ln>
      </c:spPr>
    </c:title>
    <c:plotArea>
      <c:layout>
        <c:manualLayout>
          <c:xMode val="edge"/>
          <c:yMode val="edge"/>
          <c:x val="0.0845"/>
          <c:y val="0.15525"/>
          <c:w val="0.88125"/>
          <c:h val="0.846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64536007"/>
        <c:axId val="43953152"/>
      </c:lineChart>
      <c:catAx>
        <c:axId val="645360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4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953152"/>
        <c:crosses val="autoZero"/>
        <c:auto val="1"/>
        <c:lblOffset val="100"/>
        <c:tickLblSkip val="1"/>
        <c:noMultiLvlLbl val="0"/>
      </c:catAx>
      <c:valAx>
        <c:axId val="439531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3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360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275"/>
          <c:y val="-0.00475"/>
        </c:manualLayout>
      </c:layout>
      <c:spPr>
        <a:noFill/>
        <a:ln w="3175">
          <a:noFill/>
        </a:ln>
      </c:spPr>
    </c:title>
    <c:plotArea>
      <c:layout>
        <c:manualLayout>
          <c:xMode val="edge"/>
          <c:yMode val="edge"/>
          <c:x val="0.03675"/>
          <c:y val="0.13375"/>
          <c:w val="0.946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60034049"/>
        <c:axId val="3435530"/>
      </c:lineChart>
      <c:catAx>
        <c:axId val="600340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35530"/>
        <c:crosses val="autoZero"/>
        <c:auto val="1"/>
        <c:lblOffset val="100"/>
        <c:tickLblSkip val="1"/>
        <c:noMultiLvlLbl val="0"/>
      </c:catAx>
      <c:valAx>
        <c:axId val="343553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340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125"/>
          <c:y val="0.1345"/>
          <c:w val="0.9322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30919771"/>
        <c:axId val="9842484"/>
      </c:lineChart>
      <c:catAx>
        <c:axId val="309197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842484"/>
        <c:crosses val="autoZero"/>
        <c:auto val="1"/>
        <c:lblOffset val="100"/>
        <c:tickLblSkip val="1"/>
        <c:noMultiLvlLbl val="0"/>
      </c:catAx>
      <c:valAx>
        <c:axId val="984248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197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5"/>
        </c:manualLayout>
      </c:layout>
      <c:spPr>
        <a:noFill/>
        <a:ln w="3175">
          <a:noFill/>
        </a:ln>
      </c:spPr>
    </c:title>
    <c:plotArea>
      <c:layout>
        <c:manualLayout>
          <c:xMode val="edge"/>
          <c:yMode val="edge"/>
          <c:x val="0.0375"/>
          <c:y val="0.1345"/>
          <c:w val="0.9457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21473493"/>
        <c:axId val="59043710"/>
      </c:lineChart>
      <c:catAx>
        <c:axId val="214734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043710"/>
        <c:crosses val="autoZero"/>
        <c:auto val="1"/>
        <c:lblOffset val="100"/>
        <c:tickLblSkip val="1"/>
        <c:noMultiLvlLbl val="0"/>
      </c:catAx>
      <c:valAx>
        <c:axId val="590437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734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5"/>
          <c:y val="-0.00475"/>
        </c:manualLayout>
      </c:layout>
      <c:spPr>
        <a:noFill/>
        <a:ln w="3175">
          <a:noFill/>
        </a:ln>
      </c:spPr>
    </c:title>
    <c:plotArea>
      <c:layout>
        <c:manualLayout>
          <c:xMode val="edge"/>
          <c:yMode val="edge"/>
          <c:x val="0.0515"/>
          <c:y val="0.13375"/>
          <c:w val="0.931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61631343"/>
        <c:axId val="17811176"/>
      </c:lineChart>
      <c:catAx>
        <c:axId val="616313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811176"/>
        <c:crosses val="autoZero"/>
        <c:auto val="1"/>
        <c:lblOffset val="100"/>
        <c:tickLblSkip val="1"/>
        <c:noMultiLvlLbl val="0"/>
      </c:catAx>
      <c:valAx>
        <c:axId val="178111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313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175"/>
          <c:y val="0.137"/>
          <c:w val="0.9315"/>
          <c:h val="0.75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26082857"/>
        <c:axId val="33419122"/>
      </c:lineChart>
      <c:catAx>
        <c:axId val="260828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419122"/>
        <c:crosses val="autoZero"/>
        <c:auto val="1"/>
        <c:lblOffset val="100"/>
        <c:tickLblSkip val="1"/>
        <c:noMultiLvlLbl val="0"/>
      </c:catAx>
      <c:valAx>
        <c:axId val="3341912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28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15"/>
          <c:y val="0.137"/>
          <c:w val="0.93175"/>
          <c:h val="0.75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32336643"/>
        <c:axId val="22594332"/>
      </c:lineChart>
      <c:catAx>
        <c:axId val="323366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594332"/>
        <c:crosses val="autoZero"/>
        <c:auto val="1"/>
        <c:lblOffset val="100"/>
        <c:tickLblSkip val="1"/>
        <c:noMultiLvlLbl val="0"/>
      </c:catAx>
      <c:valAx>
        <c:axId val="2259433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366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125"/>
          <c:y val="0.13575"/>
          <c:w val="0.932"/>
          <c:h val="0.76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2022397"/>
        <c:axId val="18201574"/>
      </c:lineChart>
      <c:catAx>
        <c:axId val="20223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201574"/>
        <c:crosses val="autoZero"/>
        <c:auto val="1"/>
        <c:lblOffset val="100"/>
        <c:tickLblSkip val="1"/>
        <c:noMultiLvlLbl val="0"/>
      </c:catAx>
      <c:valAx>
        <c:axId val="182015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23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3</xdr:row>
      <xdr:rowOff>76200</xdr:rowOff>
    </xdr:from>
    <xdr:to>
      <xdr:col>5</xdr:col>
      <xdr:colOff>581025</xdr:colOff>
      <xdr:row>19</xdr:row>
      <xdr:rowOff>123825</xdr:rowOff>
    </xdr:to>
    <xdr:pic>
      <xdr:nvPicPr>
        <xdr:cNvPr id="1" name="Picture 4"/>
        <xdr:cNvPicPr preferRelativeResize="1">
          <a:picLocks noChangeAspect="1"/>
        </xdr:cNvPicPr>
      </xdr:nvPicPr>
      <xdr:blipFill>
        <a:blip r:embed="rId1"/>
        <a:stretch>
          <a:fillRect/>
        </a:stretch>
      </xdr:blipFill>
      <xdr:spPr>
        <a:xfrm>
          <a:off x="914400" y="771525"/>
          <a:ext cx="2714625" cy="3105150"/>
        </a:xfrm>
        <a:prstGeom prst="rect">
          <a:avLst/>
        </a:prstGeom>
        <a:noFill/>
        <a:ln w="1" cmpd="sng">
          <a:noFill/>
        </a:ln>
      </xdr:spPr>
    </xdr:pic>
    <xdr:clientData/>
  </xdr:twoCellAnchor>
  <xdr:twoCellAnchor editAs="oneCell">
    <xdr:from>
      <xdr:col>4</xdr:col>
      <xdr:colOff>390525</xdr:colOff>
      <xdr:row>12</xdr:row>
      <xdr:rowOff>152400</xdr:rowOff>
    </xdr:from>
    <xdr:to>
      <xdr:col>6</xdr:col>
      <xdr:colOff>457200</xdr:colOff>
      <xdr:row>19</xdr:row>
      <xdr:rowOff>123825</xdr:rowOff>
    </xdr:to>
    <xdr:pic>
      <xdr:nvPicPr>
        <xdr:cNvPr id="2" name="Picture 5"/>
        <xdr:cNvPicPr preferRelativeResize="1">
          <a:picLocks noChangeAspect="1"/>
        </xdr:cNvPicPr>
      </xdr:nvPicPr>
      <xdr:blipFill>
        <a:blip r:embed="rId2"/>
        <a:stretch>
          <a:fillRect/>
        </a:stretch>
      </xdr:blipFill>
      <xdr:spPr>
        <a:xfrm>
          <a:off x="2828925" y="2562225"/>
          <a:ext cx="1285875" cy="1314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28575</xdr:rowOff>
    </xdr:from>
    <xdr:to>
      <xdr:col>6</xdr:col>
      <xdr:colOff>504825</xdr:colOff>
      <xdr:row>58</xdr:row>
      <xdr:rowOff>95250</xdr:rowOff>
    </xdr:to>
    <xdr:graphicFrame>
      <xdr:nvGraphicFramePr>
        <xdr:cNvPr id="1" name="Chart 9"/>
        <xdr:cNvGraphicFramePr/>
      </xdr:nvGraphicFramePr>
      <xdr:xfrm>
        <a:off x="0" y="8991600"/>
        <a:ext cx="5581650"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8</xdr:col>
      <xdr:colOff>885825</xdr:colOff>
      <xdr:row>125</xdr:row>
      <xdr:rowOff>76200</xdr:rowOff>
    </xdr:to>
    <xdr:graphicFrame>
      <xdr:nvGraphicFramePr>
        <xdr:cNvPr id="1" name="Chart 3"/>
        <xdr:cNvGraphicFramePr/>
      </xdr:nvGraphicFramePr>
      <xdr:xfrm>
        <a:off x="85725" y="21840825"/>
        <a:ext cx="6943725"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8</xdr:col>
      <xdr:colOff>923925</xdr:colOff>
      <xdr:row>147</xdr:row>
      <xdr:rowOff>57150</xdr:rowOff>
    </xdr:to>
    <xdr:graphicFrame>
      <xdr:nvGraphicFramePr>
        <xdr:cNvPr id="2" name="Chart 4"/>
        <xdr:cNvGraphicFramePr/>
      </xdr:nvGraphicFramePr>
      <xdr:xfrm>
        <a:off x="66675" y="26012775"/>
        <a:ext cx="7000875"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847725</xdr:colOff>
      <xdr:row>169</xdr:row>
      <xdr:rowOff>76200</xdr:rowOff>
    </xdr:to>
    <xdr:graphicFrame>
      <xdr:nvGraphicFramePr>
        <xdr:cNvPr id="3" name="Chart 5"/>
        <xdr:cNvGraphicFramePr/>
      </xdr:nvGraphicFramePr>
      <xdr:xfrm>
        <a:off x="57150" y="30232350"/>
        <a:ext cx="6934200"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886575"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896100"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867525"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819150</xdr:colOff>
      <xdr:row>259</xdr:row>
      <xdr:rowOff>57150</xdr:rowOff>
    </xdr:to>
    <xdr:graphicFrame>
      <xdr:nvGraphicFramePr>
        <xdr:cNvPr id="7" name="Chart 9"/>
        <xdr:cNvGraphicFramePr/>
      </xdr:nvGraphicFramePr>
      <xdr:xfrm>
        <a:off x="66675" y="47396400"/>
        <a:ext cx="68961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847725</xdr:colOff>
      <xdr:row>283</xdr:row>
      <xdr:rowOff>0</xdr:rowOff>
    </xdr:to>
    <xdr:graphicFrame>
      <xdr:nvGraphicFramePr>
        <xdr:cNvPr id="8" name="Chart 10"/>
        <xdr:cNvGraphicFramePr/>
      </xdr:nvGraphicFramePr>
      <xdr:xfrm>
        <a:off x="66675" y="51892200"/>
        <a:ext cx="6924675" cy="2019300"/>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283</xdr:row>
      <xdr:rowOff>171450</xdr:rowOff>
    </xdr:from>
    <xdr:to>
      <xdr:col>8</xdr:col>
      <xdr:colOff>790575</xdr:colOff>
      <xdr:row>298</xdr:row>
      <xdr:rowOff>57150</xdr:rowOff>
    </xdr:to>
    <xdr:graphicFrame>
      <xdr:nvGraphicFramePr>
        <xdr:cNvPr id="9" name="Chart 12"/>
        <xdr:cNvGraphicFramePr/>
      </xdr:nvGraphicFramePr>
      <xdr:xfrm>
        <a:off x="95250" y="54082950"/>
        <a:ext cx="683895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zoomScalePageLayoutView="0" workbookViewId="0" topLeftCell="A1">
      <selection activeCell="A23" sqref="A23:I40"/>
    </sheetView>
  </sheetViews>
  <sheetFormatPr defaultColWidth="9.140625" defaultRowHeight="15"/>
  <cols>
    <col min="15" max="15" width="4.140625" style="0" customWidth="1"/>
  </cols>
  <sheetData>
    <row r="1" spans="1:22" ht="24" thickBot="1">
      <c r="A1" s="112" t="s">
        <v>195</v>
      </c>
      <c r="B1" s="113"/>
      <c r="C1" s="113"/>
      <c r="D1" s="113"/>
      <c r="E1" s="113"/>
      <c r="F1" s="113"/>
      <c r="G1" s="113"/>
      <c r="H1" s="114"/>
      <c r="I1" s="115"/>
      <c r="J1" s="73"/>
      <c r="K1" s="73"/>
      <c r="L1" s="73"/>
      <c r="M1" s="105"/>
      <c r="N1" s="105"/>
      <c r="O1" s="73"/>
      <c r="P1" s="73"/>
      <c r="Q1" s="73"/>
      <c r="R1" s="73"/>
      <c r="S1" s="73"/>
      <c r="T1" s="73"/>
      <c r="U1" s="73"/>
      <c r="V1" s="105"/>
    </row>
    <row r="2" spans="1:22" ht="15.75" thickBot="1">
      <c r="A2" s="105"/>
      <c r="B2" s="105"/>
      <c r="C2" s="105"/>
      <c r="D2" s="105"/>
      <c r="E2" s="105"/>
      <c r="F2" s="105"/>
      <c r="G2" s="105"/>
      <c r="H2" s="105"/>
      <c r="I2" s="105"/>
      <c r="O2" s="73"/>
      <c r="P2" s="73"/>
      <c r="Q2" s="73"/>
      <c r="R2" s="73"/>
      <c r="S2" s="73"/>
      <c r="T2" s="73"/>
      <c r="U2" s="73"/>
      <c r="V2" s="105"/>
    </row>
    <row r="3" spans="1:22" ht="15" customHeight="1">
      <c r="A3" s="122"/>
      <c r="B3" s="116"/>
      <c r="C3" s="117"/>
      <c r="D3" s="117"/>
      <c r="E3" s="117"/>
      <c r="F3" s="117"/>
      <c r="G3" s="117"/>
      <c r="H3" s="118"/>
      <c r="I3" s="122"/>
      <c r="J3" s="73"/>
      <c r="K3" s="73"/>
      <c r="L3" s="73"/>
      <c r="M3" s="73"/>
      <c r="N3" s="73"/>
      <c r="O3" s="73"/>
      <c r="P3" s="73"/>
      <c r="Q3" s="73"/>
      <c r="R3" s="73"/>
      <c r="S3" s="73"/>
      <c r="T3" s="73"/>
      <c r="U3" s="73"/>
      <c r="V3" s="105"/>
    </row>
    <row r="4" spans="1:22" ht="15" customHeight="1">
      <c r="A4" s="122"/>
      <c r="B4" s="119"/>
      <c r="C4" s="120"/>
      <c r="D4" s="120"/>
      <c r="E4" s="120"/>
      <c r="F4" s="120"/>
      <c r="G4" s="120"/>
      <c r="H4" s="121"/>
      <c r="I4" s="122"/>
      <c r="J4" s="111"/>
      <c r="K4" s="111"/>
      <c r="L4" s="111"/>
      <c r="M4" s="111"/>
      <c r="N4" s="111"/>
      <c r="O4" s="73"/>
      <c r="P4" s="73"/>
      <c r="Q4" s="73"/>
      <c r="R4" s="73"/>
      <c r="S4" s="73"/>
      <c r="T4" s="73"/>
      <c r="U4" s="73"/>
      <c r="V4" s="105"/>
    </row>
    <row r="5" spans="1:22" ht="15" customHeight="1">
      <c r="A5" s="122"/>
      <c r="B5" s="119"/>
      <c r="C5" s="120"/>
      <c r="D5" s="120"/>
      <c r="E5" s="120"/>
      <c r="F5" s="120"/>
      <c r="G5" s="120"/>
      <c r="H5" s="121"/>
      <c r="I5" s="122"/>
      <c r="J5" s="111"/>
      <c r="K5" s="111"/>
      <c r="L5" s="111"/>
      <c r="M5" s="111"/>
      <c r="N5" s="111"/>
      <c r="O5" s="73"/>
      <c r="P5" s="73"/>
      <c r="Q5" s="73"/>
      <c r="R5" s="73"/>
      <c r="S5" s="73"/>
      <c r="T5" s="73"/>
      <c r="U5" s="73"/>
      <c r="V5" s="105"/>
    </row>
    <row r="6" spans="1:22" ht="15" customHeight="1">
      <c r="A6" s="122"/>
      <c r="B6" s="119"/>
      <c r="C6" s="120"/>
      <c r="D6" s="120"/>
      <c r="E6" s="120"/>
      <c r="F6" s="120"/>
      <c r="G6" s="120"/>
      <c r="H6" s="121"/>
      <c r="I6" s="122"/>
      <c r="J6" s="111"/>
      <c r="K6" s="111"/>
      <c r="L6" s="111"/>
      <c r="M6" s="111"/>
      <c r="N6" s="111"/>
      <c r="O6" s="73"/>
      <c r="P6" s="73"/>
      <c r="Q6" s="73"/>
      <c r="R6" s="73"/>
      <c r="S6" s="73"/>
      <c r="T6" s="73"/>
      <c r="U6" s="73"/>
      <c r="V6" s="105"/>
    </row>
    <row r="7" spans="1:22" ht="15" customHeight="1">
      <c r="A7" s="122"/>
      <c r="B7" s="119"/>
      <c r="C7" s="120"/>
      <c r="D7" s="120"/>
      <c r="E7" s="120"/>
      <c r="F7" s="120"/>
      <c r="G7" s="120"/>
      <c r="H7" s="121"/>
      <c r="I7" s="122"/>
      <c r="J7" s="111"/>
      <c r="K7" s="111"/>
      <c r="L7" s="111"/>
      <c r="M7" s="111"/>
      <c r="N7" s="111"/>
      <c r="O7" s="73"/>
      <c r="P7" s="73"/>
      <c r="Q7" s="73"/>
      <c r="R7" s="73"/>
      <c r="S7" s="73"/>
      <c r="T7" s="73"/>
      <c r="U7" s="73"/>
      <c r="V7" s="105"/>
    </row>
    <row r="8" spans="1:22" ht="15" customHeight="1">
      <c r="A8" s="122"/>
      <c r="B8" s="119"/>
      <c r="C8" s="120"/>
      <c r="D8" s="120"/>
      <c r="E8" s="120"/>
      <c r="F8" s="120"/>
      <c r="G8" s="120"/>
      <c r="H8" s="121"/>
      <c r="I8" s="122"/>
      <c r="J8" s="111"/>
      <c r="K8" s="111"/>
      <c r="L8" s="111"/>
      <c r="M8" s="111"/>
      <c r="N8" s="111"/>
      <c r="O8" s="73"/>
      <c r="P8" s="73"/>
      <c r="Q8" s="73"/>
      <c r="R8" s="73"/>
      <c r="S8" s="73"/>
      <c r="T8" s="73"/>
      <c r="U8" s="73"/>
      <c r="V8" s="105"/>
    </row>
    <row r="9" spans="1:22" ht="15" customHeight="1">
      <c r="A9" s="122"/>
      <c r="B9" s="119"/>
      <c r="C9" s="120"/>
      <c r="D9" s="120"/>
      <c r="E9" s="120"/>
      <c r="F9" s="120"/>
      <c r="G9" s="120"/>
      <c r="H9" s="121"/>
      <c r="I9" s="122"/>
      <c r="J9" s="111"/>
      <c r="K9" s="111"/>
      <c r="L9" s="111"/>
      <c r="M9" s="111"/>
      <c r="N9" s="111"/>
      <c r="O9" s="73"/>
      <c r="P9" s="73"/>
      <c r="Q9" s="73"/>
      <c r="R9" s="73"/>
      <c r="S9" s="73"/>
      <c r="T9" s="73"/>
      <c r="U9" s="73"/>
      <c r="V9" s="105"/>
    </row>
    <row r="10" spans="1:22" ht="15" customHeight="1">
      <c r="A10" s="122"/>
      <c r="B10" s="119"/>
      <c r="C10" s="120"/>
      <c r="D10" s="120"/>
      <c r="E10" s="120"/>
      <c r="F10" s="120"/>
      <c r="G10" s="120"/>
      <c r="H10" s="121"/>
      <c r="I10" s="122"/>
      <c r="J10" s="111"/>
      <c r="K10" s="111"/>
      <c r="L10" s="111"/>
      <c r="M10" s="111"/>
      <c r="N10" s="111"/>
      <c r="O10" s="73"/>
      <c r="P10" s="73"/>
      <c r="Q10" s="73"/>
      <c r="R10" s="73"/>
      <c r="S10" s="73"/>
      <c r="T10" s="73"/>
      <c r="U10" s="73"/>
      <c r="V10" s="105"/>
    </row>
    <row r="11" spans="1:22" ht="15" customHeight="1">
      <c r="A11" s="122"/>
      <c r="B11" s="119"/>
      <c r="C11" s="120"/>
      <c r="D11" s="120"/>
      <c r="E11" s="120"/>
      <c r="F11" s="120"/>
      <c r="G11" s="120"/>
      <c r="H11" s="121"/>
      <c r="I11" s="122"/>
      <c r="J11" s="111"/>
      <c r="K11" s="111"/>
      <c r="L11" s="111"/>
      <c r="M11" s="111"/>
      <c r="N11" s="111"/>
      <c r="O11" s="73"/>
      <c r="P11" s="73"/>
      <c r="Q11" s="73"/>
      <c r="R11" s="73"/>
      <c r="S11" s="73"/>
      <c r="T11" s="73"/>
      <c r="U11" s="73"/>
      <c r="V11" s="105"/>
    </row>
    <row r="12" spans="1:22" ht="15" customHeight="1">
      <c r="A12" s="122"/>
      <c r="B12" s="119"/>
      <c r="C12" s="120"/>
      <c r="D12" s="120"/>
      <c r="E12" s="120"/>
      <c r="F12" s="120"/>
      <c r="G12" s="120"/>
      <c r="H12" s="121"/>
      <c r="I12" s="122"/>
      <c r="J12" s="111"/>
      <c r="K12" s="111"/>
      <c r="L12" s="111"/>
      <c r="M12" s="111"/>
      <c r="N12" s="111"/>
      <c r="O12" s="73"/>
      <c r="P12" s="73"/>
      <c r="Q12" s="73"/>
      <c r="R12" s="73"/>
      <c r="S12" s="73"/>
      <c r="T12" s="73"/>
      <c r="U12" s="73"/>
      <c r="V12" s="105"/>
    </row>
    <row r="13" spans="1:22" ht="15" customHeight="1">
      <c r="A13" s="122"/>
      <c r="B13" s="119"/>
      <c r="C13" s="120"/>
      <c r="D13" s="120"/>
      <c r="E13" s="120"/>
      <c r="F13" s="120"/>
      <c r="G13" s="120"/>
      <c r="H13" s="121"/>
      <c r="I13" s="122"/>
      <c r="J13" s="111"/>
      <c r="K13" s="111"/>
      <c r="L13" s="111"/>
      <c r="M13" s="111"/>
      <c r="N13" s="111"/>
      <c r="O13" s="73"/>
      <c r="P13" s="73"/>
      <c r="Q13" s="73"/>
      <c r="R13" s="73"/>
      <c r="S13" s="73"/>
      <c r="T13" s="73"/>
      <c r="U13" s="73"/>
      <c r="V13" s="105"/>
    </row>
    <row r="14" spans="1:22" ht="15" customHeight="1">
      <c r="A14" s="122"/>
      <c r="B14" s="119"/>
      <c r="C14" s="120"/>
      <c r="D14" s="120"/>
      <c r="E14" s="120"/>
      <c r="F14" s="120"/>
      <c r="G14" s="120"/>
      <c r="H14" s="121"/>
      <c r="I14" s="122"/>
      <c r="J14" s="111"/>
      <c r="K14" s="111"/>
      <c r="L14" s="111"/>
      <c r="M14" s="111"/>
      <c r="N14" s="111"/>
      <c r="O14" s="73"/>
      <c r="P14" s="73"/>
      <c r="Q14" s="73"/>
      <c r="R14" s="73"/>
      <c r="S14" s="73"/>
      <c r="T14" s="73"/>
      <c r="U14" s="73"/>
      <c r="V14" s="105"/>
    </row>
    <row r="15" spans="1:22" ht="15" customHeight="1">
      <c r="A15" s="122"/>
      <c r="B15" s="119"/>
      <c r="C15" s="120"/>
      <c r="D15" s="120"/>
      <c r="E15" s="120"/>
      <c r="F15" s="120"/>
      <c r="G15" s="120"/>
      <c r="H15" s="121"/>
      <c r="I15" s="122"/>
      <c r="J15" s="111"/>
      <c r="K15" s="111"/>
      <c r="L15" s="111"/>
      <c r="M15" s="111"/>
      <c r="N15" s="111"/>
      <c r="O15" s="73"/>
      <c r="P15" s="73"/>
      <c r="Q15" s="73"/>
      <c r="R15" s="73"/>
      <c r="S15" s="73"/>
      <c r="T15" s="73"/>
      <c r="U15" s="73"/>
      <c r="V15" s="105"/>
    </row>
    <row r="16" spans="1:22" ht="15" customHeight="1">
      <c r="A16" s="122"/>
      <c r="B16" s="119"/>
      <c r="C16" s="120"/>
      <c r="D16" s="120"/>
      <c r="E16" s="120"/>
      <c r="F16" s="120"/>
      <c r="G16" s="120"/>
      <c r="H16" s="121"/>
      <c r="I16" s="122"/>
      <c r="J16" s="111"/>
      <c r="K16" s="111"/>
      <c r="L16" s="111"/>
      <c r="M16" s="111"/>
      <c r="N16" s="111"/>
      <c r="O16" s="73"/>
      <c r="P16" s="73"/>
      <c r="Q16" s="73"/>
      <c r="R16" s="73"/>
      <c r="S16" s="73"/>
      <c r="T16" s="73"/>
      <c r="U16" s="73"/>
      <c r="V16" s="105"/>
    </row>
    <row r="17" spans="1:22" ht="15" customHeight="1">
      <c r="A17" s="122"/>
      <c r="B17" s="119"/>
      <c r="C17" s="120"/>
      <c r="D17" s="120"/>
      <c r="E17" s="120"/>
      <c r="F17" s="120"/>
      <c r="G17" s="120"/>
      <c r="H17" s="121"/>
      <c r="I17" s="122"/>
      <c r="J17" s="111"/>
      <c r="K17" s="111"/>
      <c r="L17" s="111"/>
      <c r="M17" s="111"/>
      <c r="N17" s="111"/>
      <c r="O17" s="73"/>
      <c r="P17" s="73"/>
      <c r="Q17" s="73"/>
      <c r="R17" s="73"/>
      <c r="S17" s="73"/>
      <c r="T17" s="73"/>
      <c r="U17" s="73"/>
      <c r="V17" s="105"/>
    </row>
    <row r="18" spans="1:22" ht="15" customHeight="1">
      <c r="A18" s="122"/>
      <c r="B18" s="119"/>
      <c r="C18" s="120"/>
      <c r="D18" s="120"/>
      <c r="E18" s="120"/>
      <c r="F18" s="120"/>
      <c r="G18" s="120"/>
      <c r="H18" s="121"/>
      <c r="I18" s="122"/>
      <c r="J18" s="111"/>
      <c r="K18" s="111"/>
      <c r="L18" s="111"/>
      <c r="M18" s="111"/>
      <c r="N18" s="111"/>
      <c r="O18" s="73"/>
      <c r="P18" s="73"/>
      <c r="Q18" s="73"/>
      <c r="R18" s="73"/>
      <c r="S18" s="73"/>
      <c r="T18" s="73"/>
      <c r="U18" s="73"/>
      <c r="V18" s="105"/>
    </row>
    <row r="19" spans="1:22" ht="15.75" customHeight="1">
      <c r="A19" s="122"/>
      <c r="B19" s="119"/>
      <c r="C19" s="120"/>
      <c r="D19" s="120"/>
      <c r="E19" s="120"/>
      <c r="F19" s="120"/>
      <c r="G19" s="120"/>
      <c r="H19" s="121"/>
      <c r="I19" s="122"/>
      <c r="J19" s="111"/>
      <c r="K19" s="111"/>
      <c r="L19" s="111"/>
      <c r="M19" s="111"/>
      <c r="N19" s="111"/>
      <c r="O19" s="73"/>
      <c r="P19" s="73"/>
      <c r="Q19" s="73"/>
      <c r="R19" s="73"/>
      <c r="S19" s="73"/>
      <c r="T19" s="73"/>
      <c r="U19" s="73"/>
      <c r="V19" s="105"/>
    </row>
    <row r="20" spans="1:22" ht="15" customHeight="1">
      <c r="A20" s="122"/>
      <c r="B20" s="119"/>
      <c r="C20" s="120"/>
      <c r="D20" s="120"/>
      <c r="E20" s="120"/>
      <c r="F20" s="120"/>
      <c r="G20" s="120"/>
      <c r="H20" s="121"/>
      <c r="I20" s="122"/>
      <c r="J20" s="73"/>
      <c r="K20" s="73"/>
      <c r="L20" s="73"/>
      <c r="M20" s="73"/>
      <c r="N20" s="73"/>
      <c r="O20" s="73"/>
      <c r="P20" s="73"/>
      <c r="Q20" s="73"/>
      <c r="R20" s="73"/>
      <c r="S20" s="73"/>
      <c r="T20" s="73"/>
      <c r="U20" s="73"/>
      <c r="V20" s="105"/>
    </row>
    <row r="21" spans="1:22" ht="15.75" thickBot="1">
      <c r="A21" s="105"/>
      <c r="B21" s="74"/>
      <c r="C21" s="75"/>
      <c r="D21" s="75"/>
      <c r="E21" s="75"/>
      <c r="F21" s="75"/>
      <c r="G21" s="75"/>
      <c r="H21" s="76"/>
      <c r="I21" s="105"/>
      <c r="J21" s="105"/>
      <c r="K21" s="105"/>
      <c r="L21" s="105"/>
      <c r="M21" s="105"/>
      <c r="N21" s="105"/>
      <c r="O21" s="105"/>
      <c r="P21" s="105"/>
      <c r="Q21" s="105"/>
      <c r="R21" s="105"/>
      <c r="S21" s="105"/>
      <c r="T21" s="105"/>
      <c r="U21" s="105"/>
      <c r="V21" s="105"/>
    </row>
    <row r="22" spans="1:22" ht="15">
      <c r="A22" s="105"/>
      <c r="B22" s="105"/>
      <c r="C22" s="105"/>
      <c r="D22" s="105"/>
      <c r="E22" s="105"/>
      <c r="F22" s="105"/>
      <c r="G22" s="105"/>
      <c r="H22" s="105"/>
      <c r="I22" s="105"/>
      <c r="J22" s="105"/>
      <c r="K22" s="105"/>
      <c r="L22" s="105"/>
      <c r="M22" s="105"/>
      <c r="N22" s="105"/>
      <c r="O22" s="105"/>
      <c r="P22" s="105"/>
      <c r="Q22" s="105"/>
      <c r="R22" s="105"/>
      <c r="S22" s="105"/>
      <c r="T22" s="105"/>
      <c r="U22" s="105"/>
      <c r="V22" s="105"/>
    </row>
    <row r="23" spans="1:22" ht="15">
      <c r="A23" s="196" t="s">
        <v>198</v>
      </c>
      <c r="B23" s="196"/>
      <c r="C23" s="196"/>
      <c r="D23" s="196"/>
      <c r="E23" s="196"/>
      <c r="F23" s="196"/>
      <c r="G23" s="196"/>
      <c r="H23" s="196"/>
      <c r="I23" s="196"/>
      <c r="J23" s="105"/>
      <c r="K23" s="105"/>
      <c r="L23" s="105"/>
      <c r="M23" s="105"/>
      <c r="N23" s="105"/>
      <c r="O23" s="105"/>
      <c r="P23" s="105"/>
      <c r="Q23" s="105"/>
      <c r="R23" s="105"/>
      <c r="S23" s="105"/>
      <c r="T23" s="105"/>
      <c r="U23" s="105"/>
      <c r="V23" s="105"/>
    </row>
    <row r="24" spans="1:22" ht="15">
      <c r="A24" s="196"/>
      <c r="B24" s="196"/>
      <c r="C24" s="196"/>
      <c r="D24" s="196"/>
      <c r="E24" s="196"/>
      <c r="F24" s="196"/>
      <c r="G24" s="196"/>
      <c r="H24" s="196"/>
      <c r="I24" s="196"/>
      <c r="J24" s="105"/>
      <c r="K24" s="105"/>
      <c r="L24" s="105"/>
      <c r="M24" s="105"/>
      <c r="N24" s="105"/>
      <c r="O24" s="105"/>
      <c r="P24" s="105"/>
      <c r="Q24" s="105"/>
      <c r="R24" s="105"/>
      <c r="S24" s="105"/>
      <c r="T24" s="105"/>
      <c r="U24" s="105"/>
      <c r="V24" s="105"/>
    </row>
    <row r="25" spans="1:22" ht="15">
      <c r="A25" s="196"/>
      <c r="B25" s="196"/>
      <c r="C25" s="196"/>
      <c r="D25" s="196"/>
      <c r="E25" s="196"/>
      <c r="F25" s="196"/>
      <c r="G25" s="196"/>
      <c r="H25" s="196"/>
      <c r="I25" s="196"/>
      <c r="J25" s="105"/>
      <c r="K25" s="105"/>
      <c r="L25" s="105"/>
      <c r="M25" s="105"/>
      <c r="N25" s="105"/>
      <c r="O25" s="105"/>
      <c r="P25" s="105"/>
      <c r="Q25" s="105"/>
      <c r="R25" s="105"/>
      <c r="S25" s="105"/>
      <c r="T25" s="105"/>
      <c r="U25" s="105"/>
      <c r="V25" s="105"/>
    </row>
    <row r="26" spans="1:22" ht="15">
      <c r="A26" s="196"/>
      <c r="B26" s="196"/>
      <c r="C26" s="196"/>
      <c r="D26" s="196"/>
      <c r="E26" s="196"/>
      <c r="F26" s="196"/>
      <c r="G26" s="196"/>
      <c r="H26" s="196"/>
      <c r="I26" s="196"/>
      <c r="J26" s="105"/>
      <c r="K26" s="105"/>
      <c r="L26" s="105"/>
      <c r="M26" s="105"/>
      <c r="N26" s="105"/>
      <c r="O26" s="105"/>
      <c r="P26" s="105"/>
      <c r="Q26" s="105"/>
      <c r="R26" s="105"/>
      <c r="S26" s="105"/>
      <c r="T26" s="105"/>
      <c r="U26" s="105"/>
      <c r="V26" s="105"/>
    </row>
    <row r="27" spans="1:9" ht="15">
      <c r="A27" s="196"/>
      <c r="B27" s="196"/>
      <c r="C27" s="196"/>
      <c r="D27" s="196"/>
      <c r="E27" s="196"/>
      <c r="F27" s="196"/>
      <c r="G27" s="196"/>
      <c r="H27" s="196"/>
      <c r="I27" s="196"/>
    </row>
    <row r="28" spans="1:9" ht="15">
      <c r="A28" s="196"/>
      <c r="B28" s="196"/>
      <c r="C28" s="196"/>
      <c r="D28" s="196"/>
      <c r="E28" s="196"/>
      <c r="F28" s="196"/>
      <c r="G28" s="196"/>
      <c r="H28" s="196"/>
      <c r="I28" s="196"/>
    </row>
    <row r="29" spans="1:9" ht="15">
      <c r="A29" s="196"/>
      <c r="B29" s="196"/>
      <c r="C29" s="196"/>
      <c r="D29" s="196"/>
      <c r="E29" s="196"/>
      <c r="F29" s="196"/>
      <c r="G29" s="196"/>
      <c r="H29" s="196"/>
      <c r="I29" s="196"/>
    </row>
    <row r="30" spans="1:9" ht="15">
      <c r="A30" s="196"/>
      <c r="B30" s="196"/>
      <c r="C30" s="196"/>
      <c r="D30" s="196"/>
      <c r="E30" s="196"/>
      <c r="F30" s="196"/>
      <c r="G30" s="196"/>
      <c r="H30" s="196"/>
      <c r="I30" s="196"/>
    </row>
    <row r="31" spans="1:9" ht="15">
      <c r="A31" s="196"/>
      <c r="B31" s="196"/>
      <c r="C31" s="196"/>
      <c r="D31" s="196"/>
      <c r="E31" s="196"/>
      <c r="F31" s="196"/>
      <c r="G31" s="196"/>
      <c r="H31" s="196"/>
      <c r="I31" s="196"/>
    </row>
    <row r="32" spans="1:9" ht="15">
      <c r="A32" s="196"/>
      <c r="B32" s="196"/>
      <c r="C32" s="196"/>
      <c r="D32" s="196"/>
      <c r="E32" s="196"/>
      <c r="F32" s="196"/>
      <c r="G32" s="196"/>
      <c r="H32" s="196"/>
      <c r="I32" s="196"/>
    </row>
    <row r="33" spans="1:9" ht="15">
      <c r="A33" s="196"/>
      <c r="B33" s="196"/>
      <c r="C33" s="196"/>
      <c r="D33" s="196"/>
      <c r="E33" s="196"/>
      <c r="F33" s="196"/>
      <c r="G33" s="196"/>
      <c r="H33" s="196"/>
      <c r="I33" s="196"/>
    </row>
    <row r="34" spans="1:9" ht="15">
      <c r="A34" s="196"/>
      <c r="B34" s="196"/>
      <c r="C34" s="196"/>
      <c r="D34" s="196"/>
      <c r="E34" s="196"/>
      <c r="F34" s="196"/>
      <c r="G34" s="196"/>
      <c r="H34" s="196"/>
      <c r="I34" s="196"/>
    </row>
    <row r="35" spans="1:9" ht="15">
      <c r="A35" s="196"/>
      <c r="B35" s="196"/>
      <c r="C35" s="196"/>
      <c r="D35" s="196"/>
      <c r="E35" s="196"/>
      <c r="F35" s="196"/>
      <c r="G35" s="196"/>
      <c r="H35" s="196"/>
      <c r="I35" s="196"/>
    </row>
    <row r="36" spans="1:9" ht="15">
      <c r="A36" s="196"/>
      <c r="B36" s="196"/>
      <c r="C36" s="196"/>
      <c r="D36" s="196"/>
      <c r="E36" s="196"/>
      <c r="F36" s="196"/>
      <c r="G36" s="196"/>
      <c r="H36" s="196"/>
      <c r="I36" s="196"/>
    </row>
    <row r="37" spans="1:9" ht="15">
      <c r="A37" s="196"/>
      <c r="B37" s="196"/>
      <c r="C37" s="196"/>
      <c r="D37" s="196"/>
      <c r="E37" s="196"/>
      <c r="F37" s="196"/>
      <c r="G37" s="196"/>
      <c r="H37" s="196"/>
      <c r="I37" s="196"/>
    </row>
    <row r="38" spans="1:9" ht="15">
      <c r="A38" s="196"/>
      <c r="B38" s="196"/>
      <c r="C38" s="196"/>
      <c r="D38" s="196"/>
      <c r="E38" s="196"/>
      <c r="F38" s="196"/>
      <c r="G38" s="196"/>
      <c r="H38" s="196"/>
      <c r="I38" s="196"/>
    </row>
    <row r="39" spans="1:9" ht="15">
      <c r="A39" s="196"/>
      <c r="B39" s="196"/>
      <c r="C39" s="196"/>
      <c r="D39" s="196"/>
      <c r="E39" s="196"/>
      <c r="F39" s="196"/>
      <c r="G39" s="196"/>
      <c r="H39" s="196"/>
      <c r="I39" s="196"/>
    </row>
    <row r="40" spans="1:9" ht="19.5" customHeight="1">
      <c r="A40" s="196"/>
      <c r="B40" s="196"/>
      <c r="C40" s="196"/>
      <c r="D40" s="196"/>
      <c r="E40" s="196"/>
      <c r="F40" s="196"/>
      <c r="G40" s="196"/>
      <c r="H40" s="196"/>
      <c r="I40" s="196"/>
    </row>
  </sheetData>
  <sheetProtection/>
  <mergeCells count="1">
    <mergeCell ref="A23:I40"/>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zoomScalePageLayoutView="0" workbookViewId="0" topLeftCell="A8">
      <selection activeCell="D17" sqref="D17"/>
    </sheetView>
  </sheetViews>
  <sheetFormatPr defaultColWidth="9.140625" defaultRowHeight="15"/>
  <cols>
    <col min="1" max="1" width="26.140625" style="105"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105" customWidth="1"/>
    <col min="10" max="10" width="12.28125" style="105"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105" customWidth="1"/>
  </cols>
  <sheetData>
    <row r="1" spans="1:17" ht="24" thickBot="1">
      <c r="A1" s="123" t="s">
        <v>192</v>
      </c>
      <c r="B1" s="124"/>
      <c r="C1" s="124"/>
      <c r="D1" s="125"/>
      <c r="E1" s="73"/>
      <c r="F1" s="105"/>
      <c r="G1" s="105"/>
      <c r="H1" s="105"/>
      <c r="K1" s="105"/>
      <c r="L1" s="105"/>
      <c r="M1" s="105"/>
      <c r="N1" s="105"/>
      <c r="O1" s="105"/>
      <c r="P1" s="105"/>
      <c r="Q1" s="105"/>
    </row>
    <row r="2" spans="2:19" ht="15">
      <c r="B2" s="105"/>
      <c r="C2" s="105"/>
      <c r="D2" s="105"/>
      <c r="E2" s="105"/>
      <c r="F2" s="105"/>
      <c r="G2" s="105"/>
      <c r="H2" s="105"/>
      <c r="K2" s="105"/>
      <c r="L2" s="105"/>
      <c r="M2" s="105"/>
      <c r="N2" s="105"/>
      <c r="O2" s="105"/>
      <c r="P2" s="105"/>
      <c r="Q2" s="105"/>
      <c r="S2" s="105"/>
    </row>
    <row r="3" spans="1:17" ht="15">
      <c r="A3" s="110" t="s">
        <v>193</v>
      </c>
      <c r="H3" s="105"/>
      <c r="K3" s="105"/>
      <c r="L3" s="105"/>
      <c r="M3" s="105"/>
      <c r="N3" s="105"/>
      <c r="O3" s="105"/>
      <c r="P3" s="105"/>
      <c r="Q3" s="105"/>
    </row>
    <row r="4" ht="15.75" thickBot="1">
      <c r="H4" s="105"/>
    </row>
    <row r="5" spans="1:8" ht="15.75" thickBot="1">
      <c r="A5" s="13" t="s">
        <v>89</v>
      </c>
      <c r="B5" s="14">
        <v>20</v>
      </c>
      <c r="C5" s="15" t="s">
        <v>94</v>
      </c>
      <c r="D5" s="105"/>
      <c r="E5" s="105"/>
      <c r="F5" s="105"/>
      <c r="G5" s="105"/>
      <c r="H5" s="105"/>
    </row>
    <row r="6" spans="2:8" ht="15.75" thickBot="1">
      <c r="B6" s="105"/>
      <c r="C6" s="105"/>
      <c r="D6" s="105"/>
      <c r="E6" s="105"/>
      <c r="F6" s="105"/>
      <c r="G6" s="105"/>
      <c r="H6" s="105"/>
    </row>
    <row r="7" spans="1:8" ht="15">
      <c r="A7" s="107" t="s">
        <v>111</v>
      </c>
      <c r="B7" s="71"/>
      <c r="C7" s="71"/>
      <c r="D7" s="71"/>
      <c r="E7" s="71"/>
      <c r="F7" s="71"/>
      <c r="G7" s="72"/>
      <c r="H7" s="105"/>
    </row>
    <row r="8" spans="1:8" ht="15">
      <c r="A8" s="16" t="s">
        <v>226</v>
      </c>
      <c r="B8" s="17"/>
      <c r="C8" s="17"/>
      <c r="D8" s="28" t="s">
        <v>228</v>
      </c>
      <c r="E8" s="29"/>
      <c r="F8" s="29"/>
      <c r="G8" s="30"/>
      <c r="H8" s="105"/>
    </row>
    <row r="9" spans="1:8" ht="15">
      <c r="A9" s="20" t="s">
        <v>56</v>
      </c>
      <c r="B9" s="17">
        <v>24</v>
      </c>
      <c r="C9" s="17" t="s">
        <v>86</v>
      </c>
      <c r="D9" s="29" t="s">
        <v>95</v>
      </c>
      <c r="E9" s="29" t="s">
        <v>56</v>
      </c>
      <c r="F9" s="29">
        <v>7</v>
      </c>
      <c r="G9" s="30" t="s">
        <v>86</v>
      </c>
      <c r="H9" s="105"/>
    </row>
    <row r="10" spans="1:8" ht="15">
      <c r="A10" s="20" t="s">
        <v>57</v>
      </c>
      <c r="B10" s="17">
        <v>0</v>
      </c>
      <c r="C10" s="17" t="s">
        <v>86</v>
      </c>
      <c r="D10" s="29" t="s">
        <v>95</v>
      </c>
      <c r="E10" s="29" t="s">
        <v>57</v>
      </c>
      <c r="F10" s="29">
        <v>1</v>
      </c>
      <c r="G10" s="30" t="s">
        <v>86</v>
      </c>
      <c r="H10" s="105"/>
    </row>
    <row r="11" spans="1:8" ht="15.75" thickBot="1">
      <c r="A11" s="21" t="s">
        <v>58</v>
      </c>
      <c r="B11" s="22">
        <v>0</v>
      </c>
      <c r="C11" s="22" t="s">
        <v>86</v>
      </c>
      <c r="D11" s="31" t="s">
        <v>95</v>
      </c>
      <c r="E11" s="31" t="s">
        <v>58</v>
      </c>
      <c r="F11" s="31">
        <v>16</v>
      </c>
      <c r="G11" s="32" t="s">
        <v>86</v>
      </c>
      <c r="H11" s="105"/>
    </row>
    <row r="12" spans="2:8" ht="15.75" thickBot="1">
      <c r="B12" s="105"/>
      <c r="C12" s="105"/>
      <c r="D12" s="105"/>
      <c r="E12" s="105"/>
      <c r="F12" s="105"/>
      <c r="G12" s="105"/>
      <c r="H12" s="105"/>
    </row>
    <row r="13" spans="1:8" ht="15">
      <c r="A13" s="107" t="s">
        <v>225</v>
      </c>
      <c r="B13" s="71"/>
      <c r="C13" s="72"/>
      <c r="D13" s="105"/>
      <c r="E13" s="197" t="s">
        <v>229</v>
      </c>
      <c r="F13" s="197"/>
      <c r="G13" s="197"/>
      <c r="H13" s="105"/>
    </row>
    <row r="14" spans="1:8" ht="15">
      <c r="A14" s="20" t="s">
        <v>91</v>
      </c>
      <c r="B14" s="17">
        <v>73</v>
      </c>
      <c r="C14" s="25" t="s">
        <v>90</v>
      </c>
      <c r="D14" s="105"/>
      <c r="E14" s="197"/>
      <c r="F14" s="197"/>
      <c r="G14" s="197"/>
      <c r="H14" s="105"/>
    </row>
    <row r="15" spans="1:17" ht="15">
      <c r="A15" s="20" t="s">
        <v>92</v>
      </c>
      <c r="B15" s="17">
        <v>3</v>
      </c>
      <c r="C15" s="25" t="s">
        <v>90</v>
      </c>
      <c r="D15" s="105"/>
      <c r="E15" s="197"/>
      <c r="F15" s="197"/>
      <c r="G15" s="197"/>
      <c r="H15" s="105"/>
      <c r="K15" s="105"/>
      <c r="L15" s="105"/>
      <c r="M15" s="105"/>
      <c r="N15" s="105"/>
      <c r="O15" s="105"/>
      <c r="P15" s="105"/>
      <c r="Q15" s="105"/>
    </row>
    <row r="16" spans="1:17" ht="15.75" thickBot="1">
      <c r="A16" s="21" t="s">
        <v>93</v>
      </c>
      <c r="B16" s="22">
        <v>1</v>
      </c>
      <c r="C16" s="26" t="s">
        <v>90</v>
      </c>
      <c r="D16" s="105"/>
      <c r="E16" s="197"/>
      <c r="F16" s="197"/>
      <c r="G16" s="197"/>
      <c r="H16" s="105"/>
      <c r="K16" s="105"/>
      <c r="L16" s="105"/>
      <c r="M16" s="105"/>
      <c r="N16" s="105"/>
      <c r="O16" s="105"/>
      <c r="P16" s="105"/>
      <c r="Q16" s="105"/>
    </row>
    <row r="17" spans="2:17" ht="15.75" thickBot="1">
      <c r="B17" s="105"/>
      <c r="C17" s="105"/>
      <c r="D17" s="105"/>
      <c r="E17" s="105"/>
      <c r="F17" s="105"/>
      <c r="G17" s="105"/>
      <c r="H17" s="105"/>
      <c r="K17" s="105"/>
      <c r="L17" s="105"/>
      <c r="M17" s="105"/>
      <c r="N17" s="105"/>
      <c r="O17" s="105"/>
      <c r="P17" s="105"/>
      <c r="Q17" s="105"/>
    </row>
    <row r="18" spans="1:17" ht="15">
      <c r="A18" s="107" t="s">
        <v>112</v>
      </c>
      <c r="B18" s="71"/>
      <c r="C18" s="72"/>
      <c r="D18" s="105"/>
      <c r="E18" s="105"/>
      <c r="F18" s="105"/>
      <c r="G18" s="105"/>
      <c r="H18" s="105"/>
      <c r="K18" s="105"/>
      <c r="L18" s="105"/>
      <c r="M18" s="105"/>
      <c r="N18" s="105"/>
      <c r="O18" s="105"/>
      <c r="P18" s="105"/>
      <c r="Q18" s="105"/>
    </row>
    <row r="19" spans="1:17" ht="15">
      <c r="A19" s="20" t="s">
        <v>96</v>
      </c>
      <c r="B19" s="17">
        <v>5</v>
      </c>
      <c r="C19" s="25"/>
      <c r="D19" s="105"/>
      <c r="E19" s="105"/>
      <c r="F19" s="105"/>
      <c r="G19" s="105"/>
      <c r="H19" s="105"/>
      <c r="K19" s="105"/>
      <c r="L19" s="105"/>
      <c r="M19" s="105"/>
      <c r="N19" s="105"/>
      <c r="O19" s="105"/>
      <c r="P19" s="105"/>
      <c r="Q19" s="105"/>
    </row>
    <row r="20" spans="1:17" ht="15.75" thickBot="1">
      <c r="A20" s="21" t="s">
        <v>106</v>
      </c>
      <c r="B20" s="22">
        <v>240</v>
      </c>
      <c r="C20" s="26" t="s">
        <v>97</v>
      </c>
      <c r="D20" s="105"/>
      <c r="E20" s="105"/>
      <c r="F20" s="105"/>
      <c r="G20" s="105"/>
      <c r="H20" s="105"/>
      <c r="K20" s="105"/>
      <c r="L20" s="105"/>
      <c r="M20" s="105"/>
      <c r="N20" s="105"/>
      <c r="O20" s="105"/>
      <c r="P20" s="105"/>
      <c r="Q20" s="105"/>
    </row>
    <row r="21" spans="2:17" ht="15.75" thickBot="1">
      <c r="B21" s="105"/>
      <c r="C21" s="105"/>
      <c r="D21" s="105"/>
      <c r="E21" s="105"/>
      <c r="F21" s="105"/>
      <c r="G21" s="105"/>
      <c r="H21" s="105"/>
      <c r="K21" s="105"/>
      <c r="L21" s="105"/>
      <c r="M21" s="105"/>
      <c r="N21" s="105"/>
      <c r="O21" s="105"/>
      <c r="P21" s="105"/>
      <c r="Q21" s="105"/>
    </row>
    <row r="22" spans="1:17" ht="15">
      <c r="A22" s="107" t="s">
        <v>113</v>
      </c>
      <c r="B22" s="71"/>
      <c r="C22" s="72"/>
      <c r="D22" s="105"/>
      <c r="E22" s="105"/>
      <c r="F22" s="105"/>
      <c r="G22" s="105"/>
      <c r="H22" s="105"/>
      <c r="K22" s="105"/>
      <c r="L22" s="105"/>
      <c r="M22" s="105"/>
      <c r="N22" s="105"/>
      <c r="O22" s="105"/>
      <c r="P22" s="105"/>
      <c r="Q22" s="105"/>
    </row>
    <row r="23" spans="1:17" ht="15">
      <c r="A23" s="133" t="s">
        <v>88</v>
      </c>
      <c r="B23" s="17">
        <v>0.0898</v>
      </c>
      <c r="C23" s="25" t="s">
        <v>87</v>
      </c>
      <c r="D23" s="105"/>
      <c r="E23" s="105"/>
      <c r="F23" s="105"/>
      <c r="G23" s="105"/>
      <c r="H23" s="105"/>
      <c r="K23" s="105"/>
      <c r="L23" s="105"/>
      <c r="M23" s="105"/>
      <c r="N23" s="105"/>
      <c r="O23" s="105"/>
      <c r="P23" s="105"/>
      <c r="Q23" s="105"/>
    </row>
    <row r="24" spans="1:17" ht="15.75" thickBot="1">
      <c r="A24" s="134" t="s">
        <v>102</v>
      </c>
      <c r="B24" s="27">
        <f>'Assumptions &amp; References'!B9</f>
        <v>2</v>
      </c>
      <c r="C24" s="26" t="s">
        <v>103</v>
      </c>
      <c r="D24" s="105"/>
      <c r="E24" s="105"/>
      <c r="F24" s="105"/>
      <c r="G24" s="105"/>
      <c r="H24" s="105"/>
      <c r="K24" s="105"/>
      <c r="L24" s="105"/>
      <c r="M24" s="105"/>
      <c r="N24" s="105"/>
      <c r="O24" s="105"/>
      <c r="P24" s="105"/>
      <c r="Q24" s="105"/>
    </row>
    <row r="25" spans="11:17" ht="15.75" thickBot="1">
      <c r="K25" s="105"/>
      <c r="L25" s="105"/>
      <c r="M25" s="105"/>
      <c r="N25" s="105"/>
      <c r="O25" s="105"/>
      <c r="P25" s="105"/>
      <c r="Q25" s="105"/>
    </row>
    <row r="26" spans="1:7" ht="15">
      <c r="A26" s="107" t="s">
        <v>114</v>
      </c>
      <c r="B26" s="71"/>
      <c r="C26" s="71"/>
      <c r="D26" s="71"/>
      <c r="E26" s="71"/>
      <c r="F26" s="71"/>
      <c r="G26" s="72"/>
    </row>
    <row r="27" spans="1:7" ht="15">
      <c r="A27" s="33" t="s">
        <v>153</v>
      </c>
      <c r="B27" s="18"/>
      <c r="C27" s="18"/>
      <c r="D27" s="18"/>
      <c r="E27" s="18"/>
      <c r="F27" s="18"/>
      <c r="G27" s="19"/>
    </row>
    <row r="28" spans="1:7" ht="15">
      <c r="A28" s="132" t="s">
        <v>144</v>
      </c>
      <c r="B28" s="65">
        <f>((B14*B9+B15*B10+B16*B11)*B20+B16*24*(365-B20))/1000</f>
        <v>423.48</v>
      </c>
      <c r="C28" s="18" t="s">
        <v>208</v>
      </c>
      <c r="D28" s="18"/>
      <c r="E28" s="18"/>
      <c r="F28" s="18"/>
      <c r="G28" s="19"/>
    </row>
    <row r="29" spans="1:7" ht="15">
      <c r="A29" s="132"/>
      <c r="B29" s="18"/>
      <c r="C29" s="18"/>
      <c r="D29" s="18">
        <f>B28*B19</f>
        <v>2117.4</v>
      </c>
      <c r="E29" s="18" t="s">
        <v>209</v>
      </c>
      <c r="F29" s="65">
        <f>D29*B23</f>
        <v>190.14252000000002</v>
      </c>
      <c r="G29" s="19" t="s">
        <v>143</v>
      </c>
    </row>
    <row r="30" spans="1:7" ht="15">
      <c r="A30" s="132" t="s">
        <v>205</v>
      </c>
      <c r="B30" s="18"/>
      <c r="C30" s="18"/>
      <c r="D30" s="18">
        <f>(B14*F9+B15*F10+B16*F11)*B20*B19/1000</f>
        <v>636</v>
      </c>
      <c r="E30" s="18" t="s">
        <v>209</v>
      </c>
      <c r="F30" s="65">
        <f>D30*B23</f>
        <v>57.1128</v>
      </c>
      <c r="G30" s="19" t="s">
        <v>143</v>
      </c>
    </row>
    <row r="31" spans="1:7" ht="15">
      <c r="A31" s="33"/>
      <c r="B31" s="18"/>
      <c r="C31" s="18"/>
      <c r="D31" s="18"/>
      <c r="E31" s="18"/>
      <c r="F31" s="18"/>
      <c r="G31" s="19"/>
    </row>
    <row r="32" spans="1:7" ht="15">
      <c r="A32" s="132" t="s">
        <v>142</v>
      </c>
      <c r="B32" s="91"/>
      <c r="C32" s="91"/>
      <c r="D32" s="91"/>
      <c r="E32" s="91"/>
      <c r="F32" s="18"/>
      <c r="G32" s="19"/>
    </row>
    <row r="33" spans="1:7" ht="15">
      <c r="A33" s="90"/>
      <c r="B33" s="87" t="s">
        <v>154</v>
      </c>
      <c r="C33" s="64"/>
      <c r="D33" s="87" t="s">
        <v>155</v>
      </c>
      <c r="E33" s="64"/>
      <c r="F33" s="18"/>
      <c r="G33" s="19"/>
    </row>
    <row r="34" spans="1:7" ht="15">
      <c r="A34" s="88" t="s">
        <v>91</v>
      </c>
      <c r="B34" s="38">
        <v>41</v>
      </c>
      <c r="C34" s="18" t="s">
        <v>90</v>
      </c>
      <c r="D34" s="38">
        <v>73</v>
      </c>
      <c r="E34" s="18" t="s">
        <v>90</v>
      </c>
      <c r="F34" s="18"/>
      <c r="G34" s="19"/>
    </row>
    <row r="35" spans="1:7" ht="15">
      <c r="A35" s="88" t="s">
        <v>92</v>
      </c>
      <c r="B35" s="38">
        <v>3</v>
      </c>
      <c r="C35" s="18" t="s">
        <v>90</v>
      </c>
      <c r="D35" s="38">
        <v>3</v>
      </c>
      <c r="E35" s="18" t="s">
        <v>90</v>
      </c>
      <c r="F35" s="18"/>
      <c r="G35" s="19"/>
    </row>
    <row r="36" spans="1:7" ht="15.75" thickBot="1">
      <c r="A36" s="89" t="s">
        <v>93</v>
      </c>
      <c r="B36" s="86">
        <v>2</v>
      </c>
      <c r="C36" s="23" t="s">
        <v>90</v>
      </c>
      <c r="D36" s="86">
        <v>1</v>
      </c>
      <c r="E36" s="23" t="s">
        <v>90</v>
      </c>
      <c r="F36" s="131" t="s">
        <v>156</v>
      </c>
      <c r="G36" s="24"/>
    </row>
  </sheetData>
  <sheetProtection/>
  <mergeCells count="1">
    <mergeCell ref="E13:G16"/>
  </mergeCells>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30" location="ElecPerMon" display="Enabling power saving settings will use"/>
  </hyperlinks>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tabSelected="1" zoomScalePageLayoutView="0" workbookViewId="0" topLeftCell="A1">
      <selection activeCell="H28" sqref="H28"/>
    </sheetView>
  </sheetViews>
  <sheetFormatPr defaultColWidth="9.140625" defaultRowHeight="15"/>
  <cols>
    <col min="1" max="1" width="9.7109375" style="0" customWidth="1"/>
    <col min="2" max="2" width="14.003906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4" thickBot="1">
      <c r="A1" s="77" t="s">
        <v>194</v>
      </c>
      <c r="B1" s="78"/>
      <c r="C1" s="79"/>
      <c r="H1" s="105"/>
      <c r="I1" s="105"/>
      <c r="J1" s="105"/>
      <c r="K1" s="105"/>
      <c r="L1" s="105"/>
      <c r="M1" s="105"/>
      <c r="N1" s="105"/>
      <c r="O1" s="105"/>
      <c r="P1" s="105"/>
    </row>
    <row r="2" spans="8:16" ht="15">
      <c r="H2" s="105"/>
      <c r="I2" s="105"/>
      <c r="J2" s="105"/>
      <c r="K2" s="105"/>
      <c r="L2" s="105"/>
      <c r="M2" s="105"/>
      <c r="N2" s="105"/>
      <c r="O2" s="105"/>
      <c r="P2" s="105"/>
    </row>
    <row r="3" spans="8:16" ht="15.75" thickBot="1">
      <c r="H3" s="105"/>
      <c r="I3" s="105"/>
      <c r="J3" s="105"/>
      <c r="K3" s="105"/>
      <c r="L3" s="105"/>
      <c r="M3" s="105"/>
      <c r="N3" s="105"/>
      <c r="O3" s="105"/>
      <c r="P3" s="105"/>
    </row>
    <row r="4" spans="1:16" ht="15">
      <c r="A4" s="92" t="str">
        <f>"* Total monitor electricity consumption is "&amp;TEXT('Input Page'!D29,"0.00")&amp;" kWh/year and costs "&amp;TEXT('Input Page'!F29,"$0.00")&amp;"/year"</f>
        <v>* Total monitor electricity consumption is 2117.40 kWh/year and costs $190.14/year</v>
      </c>
      <c r="B4" s="93"/>
      <c r="C4" s="93"/>
      <c r="D4" s="93"/>
      <c r="E4" s="93"/>
      <c r="F4" s="94"/>
      <c r="G4" s="95"/>
      <c r="H4" s="105"/>
      <c r="I4" s="105"/>
      <c r="J4" s="105"/>
      <c r="K4" s="105"/>
      <c r="L4" s="105"/>
      <c r="M4" s="105"/>
      <c r="N4" s="105"/>
      <c r="O4" s="105"/>
      <c r="P4" s="105"/>
    </row>
    <row r="5" spans="1:16" ht="15.75" thickBot="1">
      <c r="A5" s="96" t="str">
        <f>"* Enabling power saving settings will use "&amp;TEXT('Input Page'!D30,"0.00")&amp;" kWh/year and cost "&amp;TEXT('Input Page'!F30,"$0.00")&amp;"/year"</f>
        <v>* Enabling power saving settings will use 636.00 kWh/year and cost $57.11/year</v>
      </c>
      <c r="B5" s="23"/>
      <c r="C5" s="23"/>
      <c r="D5" s="23"/>
      <c r="E5" s="23"/>
      <c r="F5" s="97"/>
      <c r="G5" s="24"/>
      <c r="H5" s="105"/>
      <c r="I5" s="105"/>
      <c r="J5" s="105"/>
      <c r="K5" s="105"/>
      <c r="L5" s="105"/>
      <c r="M5" s="105"/>
      <c r="N5" s="105"/>
      <c r="O5" s="105"/>
      <c r="P5" s="105"/>
    </row>
    <row r="6" spans="8:16" ht="15.75" thickBot="1">
      <c r="H6" s="105"/>
      <c r="I6" s="105"/>
      <c r="J6" s="105"/>
      <c r="K6" s="105"/>
      <c r="L6" s="105"/>
      <c r="M6" s="105"/>
      <c r="N6" s="105"/>
      <c r="O6" s="105"/>
      <c r="P6" s="105"/>
    </row>
    <row r="7" spans="1:16" ht="30.75" customHeight="1">
      <c r="A7" s="198" t="s">
        <v>189</v>
      </c>
      <c r="B7" s="199"/>
      <c r="C7" s="199"/>
      <c r="D7" s="199"/>
      <c r="E7" s="199"/>
      <c r="F7" s="199"/>
      <c r="G7" s="200"/>
      <c r="H7" s="73"/>
      <c r="I7" s="73"/>
      <c r="J7" s="73"/>
      <c r="K7" s="73"/>
      <c r="L7" s="73"/>
      <c r="M7" s="73"/>
      <c r="N7" s="73"/>
      <c r="O7" s="105"/>
      <c r="P7" s="105"/>
    </row>
    <row r="8" spans="1:16" ht="15">
      <c r="A8" s="33" t="s">
        <v>190</v>
      </c>
      <c r="B8" s="18"/>
      <c r="C8" s="18"/>
      <c r="D8" s="18"/>
      <c r="E8" s="18"/>
      <c r="F8" s="18"/>
      <c r="G8" s="19"/>
      <c r="H8" s="73"/>
      <c r="I8" s="73"/>
      <c r="J8" s="73"/>
      <c r="K8" s="73"/>
      <c r="L8" s="73"/>
      <c r="M8" s="73"/>
      <c r="N8" s="73"/>
      <c r="O8" s="105"/>
      <c r="P8" s="105"/>
    </row>
    <row r="9" spans="1:16" ht="15">
      <c r="A9" s="33" t="str">
        <f>"* The current size of your monitors is "&amp;TEXT('Input Page'!B5,"0")&amp;" inches."</f>
        <v>* The current size of your monitors is 20 inches.</v>
      </c>
      <c r="B9" s="18"/>
      <c r="C9" s="18"/>
      <c r="D9" s="18"/>
      <c r="E9" s="18"/>
      <c r="F9" s="18"/>
      <c r="G9" s="19"/>
      <c r="H9" s="73"/>
      <c r="I9" s="73"/>
      <c r="J9" s="73"/>
      <c r="K9" s="73"/>
      <c r="L9" s="73"/>
      <c r="M9" s="73"/>
      <c r="N9" s="73"/>
      <c r="O9" s="105"/>
      <c r="P9" s="105"/>
    </row>
    <row r="10" spans="1:16" ht="30.75" customHeight="1" thickBot="1">
      <c r="A10" s="201" t="s">
        <v>191</v>
      </c>
      <c r="B10" s="202"/>
      <c r="C10" s="202"/>
      <c r="D10" s="202"/>
      <c r="E10" s="202"/>
      <c r="F10" s="202"/>
      <c r="G10" s="203"/>
      <c r="H10" s="73"/>
      <c r="I10" s="73"/>
      <c r="J10" s="73"/>
      <c r="K10" s="73"/>
      <c r="L10" s="73"/>
      <c r="M10" s="73"/>
      <c r="N10" s="73"/>
      <c r="O10" s="105"/>
      <c r="P10" s="105"/>
    </row>
    <row r="11" spans="8:16" ht="15.75" thickBot="1">
      <c r="H11" s="105"/>
      <c r="I11" s="105"/>
      <c r="J11" s="105"/>
      <c r="K11" s="105"/>
      <c r="L11" s="105"/>
      <c r="M11" s="105"/>
      <c r="N11" s="105"/>
      <c r="O11" s="105"/>
      <c r="P11" s="105"/>
    </row>
    <row r="12" spans="1:16" ht="16.5" thickBot="1">
      <c r="A12" s="99" t="s">
        <v>188</v>
      </c>
      <c r="B12" s="98"/>
      <c r="C12" s="98"/>
      <c r="D12" s="98"/>
      <c r="E12" s="98"/>
      <c r="F12" s="98"/>
      <c r="G12" s="109"/>
      <c r="H12" s="73"/>
      <c r="I12" s="105"/>
      <c r="J12" s="105"/>
      <c r="K12" s="105"/>
      <c r="L12" s="105"/>
      <c r="M12" s="105"/>
      <c r="N12" s="105"/>
      <c r="O12" s="105"/>
      <c r="P12" s="105"/>
    </row>
    <row r="13" spans="8:16" ht="15.75" thickBot="1">
      <c r="H13" s="105"/>
      <c r="I13" s="105"/>
      <c r="J13" s="105"/>
      <c r="K13" s="105"/>
      <c r="L13" s="105"/>
      <c r="M13" s="105"/>
      <c r="N13" s="105"/>
      <c r="O13" s="105"/>
      <c r="P13" s="105"/>
    </row>
    <row r="14" spans="1:16" ht="15">
      <c r="A14" s="104" t="s">
        <v>125</v>
      </c>
      <c r="B14" s="93"/>
      <c r="C14" s="93"/>
      <c r="D14" s="93"/>
      <c r="E14" s="93"/>
      <c r="F14" s="93"/>
      <c r="G14" s="192"/>
      <c r="H14" s="105"/>
      <c r="I14" s="105"/>
      <c r="J14" s="105"/>
      <c r="K14" s="105"/>
      <c r="L14" s="105"/>
      <c r="M14" s="105"/>
      <c r="N14" s="105"/>
      <c r="O14" s="105"/>
      <c r="P14" s="105"/>
    </row>
    <row r="15" spans="1:16" ht="15">
      <c r="A15" s="193" t="s">
        <v>135</v>
      </c>
      <c r="B15" s="186"/>
      <c r="C15" s="219" t="s">
        <v>126</v>
      </c>
      <c r="D15" s="186" t="s">
        <v>138</v>
      </c>
      <c r="E15" s="186"/>
      <c r="F15" s="186"/>
      <c r="G15" s="194"/>
      <c r="H15" s="105"/>
      <c r="I15" s="105"/>
      <c r="J15" s="105"/>
      <c r="K15" s="105"/>
      <c r="L15" s="105"/>
      <c r="M15" s="105"/>
      <c r="N15" s="105"/>
      <c r="O15" s="105"/>
      <c r="P15" s="105"/>
    </row>
    <row r="16" spans="1:16" ht="15">
      <c r="A16" s="195" t="str">
        <f>'Projected Savings'!$A$111</f>
        <v>Dell</v>
      </c>
      <c r="B16" s="143" t="str">
        <f>'Projected Savings'!$B$111</f>
        <v>E1709Wf</v>
      </c>
      <c r="C16" s="191">
        <f>'Projected Savings'!$A$108</f>
        <v>0.12191307775472385</v>
      </c>
      <c r="D16" s="190">
        <f>'Projected Savings'!$B$108</f>
        <v>624.60576</v>
      </c>
      <c r="E16" s="143" t="s">
        <v>139</v>
      </c>
      <c r="F16" s="143"/>
      <c r="G16" s="194"/>
      <c r="H16" s="105"/>
      <c r="I16" s="105"/>
      <c r="J16" s="105"/>
      <c r="K16" s="105"/>
      <c r="L16" s="105"/>
      <c r="M16" s="105"/>
      <c r="N16" s="105"/>
      <c r="O16" s="105"/>
      <c r="P16" s="105"/>
    </row>
    <row r="17" spans="1:16" ht="15">
      <c r="A17" s="184" t="s">
        <v>127</v>
      </c>
      <c r="B17" s="18"/>
      <c r="C17" s="18"/>
      <c r="D17" s="18"/>
      <c r="E17" s="18"/>
      <c r="F17" s="18"/>
      <c r="G17" s="194"/>
      <c r="H17" s="105"/>
      <c r="I17" s="105"/>
      <c r="J17" s="105"/>
      <c r="K17" s="105"/>
      <c r="L17" s="105"/>
      <c r="M17" s="105"/>
      <c r="N17" s="105"/>
      <c r="O17" s="105"/>
      <c r="P17" s="105"/>
    </row>
    <row r="18" spans="1:16" ht="15">
      <c r="A18" s="193" t="s">
        <v>135</v>
      </c>
      <c r="B18" s="217"/>
      <c r="C18" s="186" t="s">
        <v>126</v>
      </c>
      <c r="D18" s="185" t="s">
        <v>138</v>
      </c>
      <c r="E18" s="188"/>
      <c r="F18" s="188"/>
      <c r="G18" s="194"/>
      <c r="H18" s="105"/>
      <c r="I18" s="105"/>
      <c r="J18" s="105"/>
      <c r="K18" s="105"/>
      <c r="L18" s="105"/>
      <c r="M18" s="105"/>
      <c r="N18" s="105"/>
      <c r="O18" s="105"/>
      <c r="P18" s="105"/>
    </row>
    <row r="19" spans="1:16" ht="15">
      <c r="A19" s="195" t="str">
        <f>'Projected Savings'!$A$133</f>
        <v>Dell</v>
      </c>
      <c r="B19" s="153" t="str">
        <f>'Projected Savings'!$B$133</f>
        <v>IN1910Nb</v>
      </c>
      <c r="C19" s="187">
        <f>'Projected Savings'!$A$130</f>
        <v>0.18837088116572723</v>
      </c>
      <c r="D19" s="189">
        <f>'Projected Savings'!$B$130</f>
        <v>626.55768</v>
      </c>
      <c r="E19" s="143" t="s">
        <v>139</v>
      </c>
      <c r="F19" s="143"/>
      <c r="G19" s="194"/>
      <c r="H19" s="105"/>
      <c r="I19" s="105"/>
      <c r="J19" s="105"/>
      <c r="K19" s="105"/>
      <c r="L19" s="105"/>
      <c r="M19" s="105"/>
      <c r="N19" s="105"/>
      <c r="O19" s="105"/>
      <c r="P19" s="105"/>
    </row>
    <row r="20" spans="1:16" ht="15">
      <c r="A20" s="184" t="s">
        <v>128</v>
      </c>
      <c r="B20" s="18"/>
      <c r="C20" s="18"/>
      <c r="D20" s="18"/>
      <c r="E20" s="18"/>
      <c r="F20" s="18"/>
      <c r="G20" s="194"/>
      <c r="H20" s="105"/>
      <c r="I20" s="105"/>
      <c r="J20" s="105"/>
      <c r="K20" s="105"/>
      <c r="L20" s="105"/>
      <c r="M20" s="105"/>
      <c r="N20" s="105"/>
      <c r="O20" s="105"/>
      <c r="P20" s="105"/>
    </row>
    <row r="21" spans="1:16" ht="15">
      <c r="A21" s="193" t="s">
        <v>135</v>
      </c>
      <c r="B21" s="217"/>
      <c r="C21" s="186" t="s">
        <v>126</v>
      </c>
      <c r="D21" s="218" t="s">
        <v>138</v>
      </c>
      <c r="E21" s="186"/>
      <c r="F21" s="217"/>
      <c r="G21" s="194"/>
      <c r="H21" s="105"/>
      <c r="I21" s="105"/>
      <c r="J21" s="105"/>
      <c r="K21" s="105"/>
      <c r="L21" s="105"/>
      <c r="M21" s="105"/>
      <c r="N21" s="105"/>
      <c r="O21" s="105"/>
      <c r="P21" s="105"/>
    </row>
    <row r="22" spans="1:16" ht="15">
      <c r="A22" s="195" t="str">
        <f>'Projected Savings'!$A$155</f>
        <v>HP</v>
      </c>
      <c r="B22" s="153" t="str">
        <f>'Projected Savings'!$B$155</f>
        <v>LE1901w</v>
      </c>
      <c r="C22" s="216">
        <f>'Projected Savings'!$A$152</f>
        <v>0.04857192421467119</v>
      </c>
      <c r="D22" s="189">
        <f>'Projected Savings'!$B$152</f>
        <v>625.16484</v>
      </c>
      <c r="E22" s="143" t="s">
        <v>139</v>
      </c>
      <c r="F22" s="143"/>
      <c r="G22" s="194"/>
      <c r="H22" s="105"/>
      <c r="I22" s="105"/>
      <c r="J22" s="105"/>
      <c r="K22" s="105"/>
      <c r="L22" s="105"/>
      <c r="M22" s="105"/>
      <c r="N22" s="105"/>
      <c r="O22" s="105"/>
      <c r="P22" s="105"/>
    </row>
    <row r="23" spans="1:16" ht="15">
      <c r="A23" s="184" t="s">
        <v>129</v>
      </c>
      <c r="B23" s="18"/>
      <c r="C23" s="18"/>
      <c r="D23" s="18"/>
      <c r="E23" s="18"/>
      <c r="F23" s="18"/>
      <c r="G23" s="194"/>
      <c r="H23" s="105"/>
      <c r="I23" s="105"/>
      <c r="J23" s="105"/>
      <c r="K23" s="105"/>
      <c r="L23" s="105"/>
      <c r="M23" s="105"/>
      <c r="N23" s="105"/>
      <c r="O23" s="105"/>
      <c r="P23" s="105"/>
    </row>
    <row r="24" spans="1:16" ht="15">
      <c r="A24" s="193" t="s">
        <v>135</v>
      </c>
      <c r="B24" s="217"/>
      <c r="C24" s="186" t="s">
        <v>126</v>
      </c>
      <c r="D24" s="218" t="s">
        <v>138</v>
      </c>
      <c r="E24" s="186"/>
      <c r="F24" s="217"/>
      <c r="G24" s="194"/>
      <c r="H24" s="105"/>
      <c r="I24" s="105"/>
      <c r="J24" s="105"/>
      <c r="K24" s="105"/>
      <c r="L24" s="105"/>
      <c r="M24" s="105"/>
      <c r="N24" s="105"/>
      <c r="O24" s="105"/>
      <c r="P24" s="105"/>
    </row>
    <row r="25" spans="1:16" ht="15">
      <c r="A25" s="195" t="str">
        <f>'Projected Savings'!$A$177</f>
        <v>Dell</v>
      </c>
      <c r="B25" s="153" t="str">
        <f>'Projected Savings'!$B$177</f>
        <v>IN2010Nb</v>
      </c>
      <c r="C25" s="216">
        <f>'Projected Savings'!$A$174</f>
        <v>0.12107656890713425</v>
      </c>
      <c r="D25" s="189">
        <f>'Projected Savings'!$B$174</f>
        <v>623.2975200000001</v>
      </c>
      <c r="E25" s="143"/>
      <c r="F25" s="143"/>
      <c r="G25" s="194"/>
      <c r="H25" s="105"/>
      <c r="I25" s="105"/>
      <c r="J25" s="105"/>
      <c r="K25" s="105"/>
      <c r="L25" s="105"/>
      <c r="M25" s="105"/>
      <c r="N25" s="105"/>
      <c r="O25" s="105"/>
      <c r="P25" s="105"/>
    </row>
    <row r="26" spans="1:16" ht="15">
      <c r="A26" s="184" t="s">
        <v>133</v>
      </c>
      <c r="B26" s="18"/>
      <c r="C26" s="18"/>
      <c r="D26" s="18"/>
      <c r="E26" s="18"/>
      <c r="F26" s="18"/>
      <c r="G26" s="194"/>
      <c r="H26" s="105"/>
      <c r="I26" s="66"/>
      <c r="J26" s="66"/>
      <c r="K26" s="66"/>
      <c r="L26" s="105"/>
      <c r="M26" s="105"/>
      <c r="N26" s="105"/>
      <c r="O26" s="105"/>
      <c r="P26" s="105"/>
    </row>
    <row r="27" spans="1:16" ht="15">
      <c r="A27" s="193" t="s">
        <v>135</v>
      </c>
      <c r="B27" s="217"/>
      <c r="C27" s="186" t="s">
        <v>126</v>
      </c>
      <c r="D27" s="218" t="s">
        <v>138</v>
      </c>
      <c r="E27" s="186"/>
      <c r="F27" s="217"/>
      <c r="G27" s="194"/>
      <c r="H27" s="105"/>
      <c r="I27" s="66"/>
      <c r="J27" s="66"/>
      <c r="K27" s="66"/>
      <c r="L27" s="105"/>
      <c r="M27" s="105"/>
      <c r="N27" s="105"/>
      <c r="O27" s="105"/>
      <c r="P27" s="105"/>
    </row>
    <row r="28" spans="1:16" ht="15">
      <c r="A28" s="195" t="str">
        <f>'Projected Savings'!A199</f>
        <v>Acer</v>
      </c>
      <c r="B28" s="153" t="str">
        <f>'Projected Savings'!B199</f>
        <v>H213H</v>
      </c>
      <c r="C28" s="216">
        <f>'Projected Savings'!A196</f>
        <v>0.00669859336184187</v>
      </c>
      <c r="D28" s="189">
        <f>'Projected Savings'!B196</f>
        <v>619.0559999999999</v>
      </c>
      <c r="E28" s="143"/>
      <c r="F28" s="143"/>
      <c r="G28" s="194"/>
      <c r="H28" s="105"/>
      <c r="I28" s="66"/>
      <c r="J28" s="66"/>
      <c r="K28" s="66"/>
      <c r="L28" s="105"/>
      <c r="M28" s="105"/>
      <c r="N28" s="105"/>
      <c r="O28" s="105"/>
      <c r="P28" s="105"/>
    </row>
    <row r="29" spans="1:16" ht="15">
      <c r="A29" s="184" t="s">
        <v>130</v>
      </c>
      <c r="B29" s="18"/>
      <c r="C29" s="18"/>
      <c r="D29" s="18"/>
      <c r="E29" s="18"/>
      <c r="F29" s="18"/>
      <c r="G29" s="194"/>
      <c r="H29" s="105"/>
      <c r="I29" s="66"/>
      <c r="J29" s="66"/>
      <c r="K29" s="66"/>
      <c r="L29" s="105"/>
      <c r="M29" s="105"/>
      <c r="N29" s="105"/>
      <c r="O29" s="105"/>
      <c r="P29" s="105"/>
    </row>
    <row r="30" spans="1:16" ht="15">
      <c r="A30" s="193" t="s">
        <v>135</v>
      </c>
      <c r="B30" s="217"/>
      <c r="C30" s="186" t="s">
        <v>126</v>
      </c>
      <c r="D30" s="218" t="s">
        <v>138</v>
      </c>
      <c r="E30" s="186"/>
      <c r="F30" s="217"/>
      <c r="G30" s="194"/>
      <c r="H30" s="105"/>
      <c r="I30" s="66"/>
      <c r="J30" s="66"/>
      <c r="K30" s="66"/>
      <c r="L30" s="105"/>
      <c r="M30" s="105"/>
      <c r="N30" s="105"/>
      <c r="O30" s="105"/>
      <c r="P30" s="105"/>
    </row>
    <row r="31" spans="1:16" ht="15">
      <c r="A31" s="195" t="str">
        <f>'Projected Savings'!A223</f>
        <v>Acer</v>
      </c>
      <c r="B31" s="153" t="str">
        <f>'Projected Savings'!B223</f>
        <v>X223Wv</v>
      </c>
      <c r="C31" s="216">
        <f>'Projected Savings'!A220</f>
        <v>0.027555053166685325</v>
      </c>
      <c r="D31" s="189">
        <f>'Projected Savings'!B220</f>
        <v>623.5758000000001</v>
      </c>
      <c r="E31" s="143"/>
      <c r="F31" s="143"/>
      <c r="G31" s="194"/>
      <c r="H31" s="105"/>
      <c r="I31" s="66"/>
      <c r="J31" s="66"/>
      <c r="K31" s="66"/>
      <c r="L31" s="105"/>
      <c r="M31" s="105"/>
      <c r="N31" s="105"/>
      <c r="O31" s="105"/>
      <c r="P31" s="105"/>
    </row>
    <row r="32" spans="1:16" ht="15">
      <c r="A32" s="184" t="s">
        <v>131</v>
      </c>
      <c r="B32" s="18"/>
      <c r="C32" s="18"/>
      <c r="D32" s="18"/>
      <c r="E32" s="18"/>
      <c r="F32" s="18"/>
      <c r="G32" s="194"/>
      <c r="H32" s="105"/>
      <c r="I32" s="66"/>
      <c r="J32" s="66"/>
      <c r="K32" s="66"/>
      <c r="L32" s="105"/>
      <c r="M32" s="105"/>
      <c r="N32" s="105"/>
      <c r="O32" s="105"/>
      <c r="P32" s="105"/>
    </row>
    <row r="33" spans="1:16" ht="15">
      <c r="A33" s="193" t="s">
        <v>135</v>
      </c>
      <c r="B33" s="217"/>
      <c r="C33" s="186" t="s">
        <v>126</v>
      </c>
      <c r="D33" s="218" t="s">
        <v>138</v>
      </c>
      <c r="E33" s="186"/>
      <c r="F33" s="217"/>
      <c r="G33" s="194"/>
      <c r="H33" s="105"/>
      <c r="I33" s="66"/>
      <c r="J33" s="66"/>
      <c r="K33" s="66"/>
      <c r="L33" s="105"/>
      <c r="M33" s="105"/>
      <c r="N33" s="105"/>
      <c r="O33" s="105"/>
      <c r="P33" s="105"/>
    </row>
    <row r="34" spans="1:16" ht="15">
      <c r="A34" s="195" t="str">
        <f>'Projected Savings'!$A$245</f>
        <v>Dell</v>
      </c>
      <c r="B34" s="153" t="str">
        <f>'Projected Savings'!$B$245</f>
        <v>ST2310f</v>
      </c>
      <c r="C34" s="216">
        <f>'Projected Savings'!$A$242</f>
        <v>0.009111604173865985</v>
      </c>
      <c r="D34" s="189">
        <f>'Projected Savings'!$B$242</f>
        <v>623.5538399999999</v>
      </c>
      <c r="E34" s="143"/>
      <c r="F34" s="143"/>
      <c r="G34" s="194"/>
      <c r="H34" s="105"/>
      <c r="I34" s="66"/>
      <c r="J34" s="66"/>
      <c r="K34" s="66"/>
      <c r="L34" s="105"/>
      <c r="M34" s="105"/>
      <c r="N34" s="105"/>
      <c r="O34" s="105"/>
      <c r="P34" s="105"/>
    </row>
    <row r="35" spans="1:16" ht="15">
      <c r="A35" s="184" t="s">
        <v>132</v>
      </c>
      <c r="B35" s="18"/>
      <c r="C35" s="18"/>
      <c r="D35" s="18"/>
      <c r="E35" s="18"/>
      <c r="F35" s="18"/>
      <c r="G35" s="194"/>
      <c r="H35" s="73"/>
      <c r="I35" s="66"/>
      <c r="J35" s="66"/>
      <c r="K35" s="66"/>
      <c r="L35" s="105"/>
      <c r="M35" s="105"/>
      <c r="N35" s="105"/>
      <c r="O35" s="105"/>
      <c r="P35" s="105"/>
    </row>
    <row r="36" spans="1:16" ht="15">
      <c r="A36" s="193" t="s">
        <v>135</v>
      </c>
      <c r="B36" s="217"/>
      <c r="C36" s="186" t="s">
        <v>126</v>
      </c>
      <c r="D36" s="218" t="s">
        <v>138</v>
      </c>
      <c r="E36" s="186"/>
      <c r="F36" s="217"/>
      <c r="G36" s="194"/>
      <c r="H36" s="73"/>
      <c r="I36" s="66"/>
      <c r="J36" s="66"/>
      <c r="K36" s="66"/>
      <c r="L36" s="105"/>
      <c r="M36" s="105"/>
      <c r="N36" s="105"/>
      <c r="O36" s="105"/>
      <c r="P36" s="105"/>
    </row>
    <row r="37" spans="1:16" ht="15">
      <c r="A37" s="195" t="str">
        <f>'Projected Savings'!$A$267</f>
        <v>Dell</v>
      </c>
      <c r="B37" s="153" t="str">
        <f>'Projected Savings'!$B$267</f>
        <v>ST2410b</v>
      </c>
      <c r="C37" s="216">
        <f>'Projected Savings'!$A$264</f>
        <v>-0.12791406622221294</v>
      </c>
      <c r="D37" s="189">
        <f>'Projected Savings'!$B$264</f>
        <v>623.50488</v>
      </c>
      <c r="E37" s="143"/>
      <c r="F37" s="143"/>
      <c r="G37" s="194"/>
      <c r="H37" s="105"/>
      <c r="I37" s="66"/>
      <c r="J37" s="66"/>
      <c r="K37" s="66"/>
      <c r="L37" s="105"/>
      <c r="M37" s="105"/>
      <c r="N37" s="105"/>
      <c r="O37" s="105"/>
      <c r="P37" s="105"/>
    </row>
    <row r="38" spans="1:16" ht="15">
      <c r="A38" s="100"/>
      <c r="B38" s="40"/>
      <c r="C38" s="40"/>
      <c r="D38" s="40"/>
      <c r="E38" s="40"/>
      <c r="F38" s="40"/>
      <c r="G38" s="101"/>
      <c r="H38" s="105"/>
      <c r="I38" s="66"/>
      <c r="J38" s="66"/>
      <c r="K38" s="66"/>
      <c r="L38" s="105"/>
      <c r="M38" s="105"/>
      <c r="N38" s="105"/>
      <c r="O38" s="105"/>
      <c r="P38" s="105"/>
    </row>
    <row r="39" spans="1:16" ht="15">
      <c r="A39" s="100"/>
      <c r="B39" s="40"/>
      <c r="C39" s="40"/>
      <c r="D39" s="40"/>
      <c r="E39" s="40"/>
      <c r="F39" s="40"/>
      <c r="G39" s="101"/>
      <c r="H39" s="105"/>
      <c r="I39" s="66"/>
      <c r="J39" s="66"/>
      <c r="K39" s="66"/>
      <c r="L39" s="105"/>
      <c r="M39" s="105"/>
      <c r="N39" s="105"/>
      <c r="O39" s="105"/>
      <c r="P39" s="105"/>
    </row>
    <row r="40" spans="1:16" ht="15">
      <c r="A40" s="100"/>
      <c r="B40" s="40"/>
      <c r="C40" s="40"/>
      <c r="D40" s="40"/>
      <c r="E40" s="40"/>
      <c r="F40" s="40"/>
      <c r="G40" s="101"/>
      <c r="H40" s="105"/>
      <c r="K40" s="105"/>
      <c r="L40" s="105"/>
      <c r="M40" s="105"/>
      <c r="N40" s="105"/>
      <c r="O40" s="105"/>
      <c r="P40" s="105"/>
    </row>
    <row r="41" spans="1:16" ht="15">
      <c r="A41" s="100"/>
      <c r="B41" s="40"/>
      <c r="C41" s="40"/>
      <c r="D41" s="40"/>
      <c r="E41" s="40"/>
      <c r="F41" s="40"/>
      <c r="G41" s="101"/>
      <c r="H41" s="105"/>
      <c r="K41" s="105"/>
      <c r="L41" s="105"/>
      <c r="M41" s="105"/>
      <c r="N41" s="105"/>
      <c r="O41" s="105"/>
      <c r="P41" s="105"/>
    </row>
    <row r="42" spans="1:16" ht="15">
      <c r="A42" s="103"/>
      <c r="B42" s="66"/>
      <c r="C42" s="66"/>
      <c r="D42" s="66"/>
      <c r="E42" s="66"/>
      <c r="F42" s="66"/>
      <c r="G42" s="102"/>
      <c r="H42" s="105"/>
      <c r="I42" s="105"/>
      <c r="J42" s="105"/>
      <c r="K42" s="105"/>
      <c r="L42" s="105"/>
      <c r="M42" s="105"/>
      <c r="N42" s="105"/>
      <c r="O42" s="105"/>
      <c r="P42" s="105"/>
    </row>
    <row r="43" spans="1:16" ht="15">
      <c r="A43" s="103"/>
      <c r="B43" s="66"/>
      <c r="C43" s="66"/>
      <c r="D43" s="66"/>
      <c r="E43" s="66"/>
      <c r="F43" s="66"/>
      <c r="G43" s="102"/>
      <c r="H43" s="105"/>
      <c r="I43" s="105"/>
      <c r="J43" s="105"/>
      <c r="K43" s="105"/>
      <c r="L43" s="105"/>
      <c r="M43" s="105"/>
      <c r="N43" s="105"/>
      <c r="O43" s="105"/>
      <c r="P43" s="105"/>
    </row>
    <row r="44" spans="1:16" ht="15">
      <c r="A44" s="183"/>
      <c r="B44" s="66"/>
      <c r="C44" s="66"/>
      <c r="D44" s="66"/>
      <c r="E44" s="66"/>
      <c r="F44" s="66"/>
      <c r="G44" s="102"/>
      <c r="H44" s="105"/>
      <c r="I44" s="105"/>
      <c r="J44" s="105"/>
      <c r="K44" s="105"/>
      <c r="L44" s="105"/>
      <c r="M44" s="105"/>
      <c r="N44" s="105"/>
      <c r="O44" s="105"/>
      <c r="P44" s="105"/>
    </row>
    <row r="45" spans="1:16" ht="15">
      <c r="A45" s="103"/>
      <c r="B45" s="66"/>
      <c r="C45" s="66"/>
      <c r="D45" s="66"/>
      <c r="E45" s="66"/>
      <c r="F45" s="66"/>
      <c r="G45" s="102"/>
      <c r="H45" s="105"/>
      <c r="I45" s="105"/>
      <c r="J45" s="105"/>
      <c r="K45" s="105"/>
      <c r="L45" s="105"/>
      <c r="M45" s="105"/>
      <c r="N45" s="105"/>
      <c r="O45" s="105"/>
      <c r="P45" s="105"/>
    </row>
    <row r="46" spans="1:16" ht="15">
      <c r="A46" s="103"/>
      <c r="B46" s="66"/>
      <c r="C46" s="66"/>
      <c r="D46" s="66"/>
      <c r="E46" s="82"/>
      <c r="F46" s="66"/>
      <c r="G46" s="102"/>
      <c r="H46" s="105"/>
      <c r="I46" s="105"/>
      <c r="J46" s="105"/>
      <c r="K46" s="105"/>
      <c r="L46" s="105"/>
      <c r="M46" s="105"/>
      <c r="N46" s="105"/>
      <c r="O46" s="105"/>
      <c r="P46" s="105"/>
    </row>
    <row r="47" spans="1:16" ht="15">
      <c r="A47" s="103"/>
      <c r="B47" s="66"/>
      <c r="C47" s="66"/>
      <c r="D47" s="66"/>
      <c r="E47" s="83"/>
      <c r="F47" s="66"/>
      <c r="G47" s="102"/>
      <c r="H47" s="105"/>
      <c r="I47" s="105"/>
      <c r="J47" s="105"/>
      <c r="K47" s="105"/>
      <c r="L47" s="105"/>
      <c r="M47" s="105"/>
      <c r="N47" s="105"/>
      <c r="O47" s="105"/>
      <c r="P47" s="105"/>
    </row>
    <row r="48" spans="1:16" ht="15">
      <c r="A48" s="103"/>
      <c r="B48" s="66"/>
      <c r="C48" s="66"/>
      <c r="D48" s="66"/>
      <c r="E48" s="67"/>
      <c r="F48" s="66"/>
      <c r="G48" s="102"/>
      <c r="H48" s="105"/>
      <c r="I48" s="105"/>
      <c r="J48" s="105"/>
      <c r="K48" s="105"/>
      <c r="L48" s="105"/>
      <c r="M48" s="105"/>
      <c r="N48" s="105"/>
      <c r="O48" s="105"/>
      <c r="P48" s="105"/>
    </row>
    <row r="49" spans="1:16" ht="15">
      <c r="A49" s="103"/>
      <c r="B49" s="66"/>
      <c r="C49" s="66"/>
      <c r="D49" s="66"/>
      <c r="E49" s="67"/>
      <c r="F49" s="66"/>
      <c r="G49" s="102"/>
      <c r="H49" s="105"/>
      <c r="I49" s="105"/>
      <c r="J49" s="105"/>
      <c r="K49" s="105"/>
      <c r="L49" s="105"/>
      <c r="M49" s="105"/>
      <c r="N49" s="105"/>
      <c r="O49" s="105"/>
      <c r="P49" s="105"/>
    </row>
    <row r="50" spans="1:16" ht="15">
      <c r="A50" s="103"/>
      <c r="B50" s="66"/>
      <c r="C50" s="66"/>
      <c r="D50" s="66"/>
      <c r="E50" s="67"/>
      <c r="F50" s="66"/>
      <c r="G50" s="102"/>
      <c r="H50" s="105"/>
      <c r="I50" s="105"/>
      <c r="J50" s="105"/>
      <c r="K50" s="105"/>
      <c r="L50" s="105"/>
      <c r="M50" s="105"/>
      <c r="N50" s="105"/>
      <c r="O50" s="105"/>
      <c r="P50" s="105"/>
    </row>
    <row r="51" spans="1:16" ht="15">
      <c r="A51" s="103"/>
      <c r="B51" s="66"/>
      <c r="C51" s="66"/>
      <c r="D51" s="66"/>
      <c r="E51" s="67"/>
      <c r="F51" s="66"/>
      <c r="G51" s="102"/>
      <c r="H51" s="105"/>
      <c r="I51" s="105"/>
      <c r="J51" s="105"/>
      <c r="K51" s="105"/>
      <c r="L51" s="105"/>
      <c r="M51" s="105"/>
      <c r="N51" s="105"/>
      <c r="O51" s="105"/>
      <c r="P51" s="105"/>
    </row>
    <row r="52" spans="1:16" ht="15">
      <c r="A52" s="103"/>
      <c r="B52" s="66"/>
      <c r="C52" s="66"/>
      <c r="D52" s="66"/>
      <c r="E52" s="67"/>
      <c r="F52" s="66"/>
      <c r="G52" s="102"/>
      <c r="H52" s="105"/>
      <c r="I52" s="105"/>
      <c r="J52" s="105"/>
      <c r="K52" s="105"/>
      <c r="L52" s="105"/>
      <c r="M52" s="105"/>
      <c r="N52" s="105"/>
      <c r="O52" s="105"/>
      <c r="P52" s="105"/>
    </row>
    <row r="53" spans="1:16" ht="15">
      <c r="A53" s="103"/>
      <c r="B53" s="66"/>
      <c r="C53" s="66"/>
      <c r="D53" s="66"/>
      <c r="E53" s="67"/>
      <c r="F53" s="66"/>
      <c r="G53" s="102"/>
      <c r="H53" s="105"/>
      <c r="I53" s="105"/>
      <c r="J53" s="105"/>
      <c r="K53" s="105"/>
      <c r="L53" s="105"/>
      <c r="M53" s="105"/>
      <c r="N53" s="105"/>
      <c r="O53" s="105"/>
      <c r="P53" s="105"/>
    </row>
    <row r="54" spans="1:16" ht="15">
      <c r="A54" s="103"/>
      <c r="B54" s="66"/>
      <c r="C54" s="66"/>
      <c r="D54" s="67"/>
      <c r="E54" s="67"/>
      <c r="F54" s="66"/>
      <c r="G54" s="102"/>
      <c r="H54" s="105"/>
      <c r="I54" s="105"/>
      <c r="J54" s="105"/>
      <c r="K54" s="105"/>
      <c r="L54" s="105"/>
      <c r="M54" s="105"/>
      <c r="N54" s="105"/>
      <c r="O54" s="105"/>
      <c r="P54" s="105"/>
    </row>
    <row r="55" spans="1:16" ht="15">
      <c r="A55" s="103"/>
      <c r="B55" s="66"/>
      <c r="C55" s="66"/>
      <c r="D55" s="66"/>
      <c r="E55" s="66"/>
      <c r="F55" s="66"/>
      <c r="G55" s="102"/>
      <c r="H55" s="105"/>
      <c r="I55" s="105"/>
      <c r="J55" s="105"/>
      <c r="K55" s="105"/>
      <c r="L55" s="105"/>
      <c r="M55" s="105"/>
      <c r="N55" s="105"/>
      <c r="O55" s="105"/>
      <c r="P55" s="105"/>
    </row>
    <row r="56" spans="1:16" ht="15">
      <c r="A56" s="103"/>
      <c r="B56" s="66"/>
      <c r="C56" s="66"/>
      <c r="D56" s="66"/>
      <c r="E56" s="66"/>
      <c r="F56" s="66"/>
      <c r="G56" s="102"/>
      <c r="H56" s="105"/>
      <c r="I56" s="105"/>
      <c r="J56" s="105"/>
      <c r="K56" s="105"/>
      <c r="L56" s="105"/>
      <c r="M56" s="105"/>
      <c r="N56" s="105"/>
      <c r="O56" s="105"/>
      <c r="P56" s="105"/>
    </row>
    <row r="57" spans="1:16" ht="15">
      <c r="A57" s="103"/>
      <c r="B57" s="66"/>
      <c r="C57" s="66"/>
      <c r="D57" s="66"/>
      <c r="E57" s="66"/>
      <c r="F57" s="66"/>
      <c r="G57" s="102"/>
      <c r="H57" s="105"/>
      <c r="I57" s="105"/>
      <c r="J57" s="105"/>
      <c r="K57" s="105"/>
      <c r="L57" s="105"/>
      <c r="M57" s="105"/>
      <c r="N57" s="105"/>
      <c r="O57" s="105"/>
      <c r="P57" s="105"/>
    </row>
    <row r="58" spans="1:16" ht="15">
      <c r="A58" s="103"/>
      <c r="B58" s="66"/>
      <c r="C58" s="66"/>
      <c r="D58" s="66"/>
      <c r="E58" s="66"/>
      <c r="F58" s="66"/>
      <c r="G58" s="102"/>
      <c r="H58" s="105"/>
      <c r="I58" s="105"/>
      <c r="J58" s="105"/>
      <c r="K58" s="105"/>
      <c r="L58" s="105"/>
      <c r="M58" s="105"/>
      <c r="N58" s="105"/>
      <c r="O58" s="105"/>
      <c r="P58" s="105"/>
    </row>
    <row r="59" spans="1:16" ht="15.75" thickBot="1">
      <c r="A59" s="180"/>
      <c r="B59" s="181"/>
      <c r="C59" s="181"/>
      <c r="D59" s="181"/>
      <c r="E59" s="181"/>
      <c r="F59" s="181"/>
      <c r="G59" s="182"/>
      <c r="H59" s="105"/>
      <c r="I59" s="105"/>
      <c r="J59" s="105"/>
      <c r="K59" s="105"/>
      <c r="L59" s="105"/>
      <c r="M59" s="105"/>
      <c r="N59" s="105"/>
      <c r="O59" s="105"/>
      <c r="P59" s="105"/>
    </row>
    <row r="60" spans="1:16" ht="15">
      <c r="A60" s="66"/>
      <c r="B60" s="66"/>
      <c r="C60" s="66"/>
      <c r="D60" s="66"/>
      <c r="E60" s="66"/>
      <c r="F60" s="66"/>
      <c r="G60" s="66"/>
      <c r="H60" s="105"/>
      <c r="I60" s="105"/>
      <c r="J60" s="105"/>
      <c r="K60" s="105"/>
      <c r="L60" s="105"/>
      <c r="M60" s="105"/>
      <c r="N60" s="105"/>
      <c r="O60" s="105"/>
      <c r="P60" s="105"/>
    </row>
    <row r="61" spans="1:16" ht="15">
      <c r="A61" s="66"/>
      <c r="B61" s="66"/>
      <c r="C61" s="66"/>
      <c r="D61" s="66"/>
      <c r="E61" s="66"/>
      <c r="F61" s="66"/>
      <c r="G61" s="66"/>
      <c r="H61" s="105"/>
      <c r="I61" s="105"/>
      <c r="J61" s="105"/>
      <c r="K61" s="105"/>
      <c r="L61" s="105"/>
      <c r="M61" s="105"/>
      <c r="N61" s="105"/>
      <c r="O61" s="105"/>
      <c r="P61" s="105"/>
    </row>
    <row r="62" spans="1:16" ht="15">
      <c r="A62" s="66"/>
      <c r="B62" s="66"/>
      <c r="C62" s="66"/>
      <c r="D62" s="66"/>
      <c r="E62" s="66"/>
      <c r="F62" s="66"/>
      <c r="G62" s="66"/>
      <c r="H62" s="66"/>
      <c r="I62" s="105"/>
      <c r="J62" s="105"/>
      <c r="K62" s="105"/>
      <c r="L62" s="105"/>
      <c r="M62" s="105"/>
      <c r="N62" s="105"/>
      <c r="O62" s="105"/>
      <c r="P62" s="105"/>
    </row>
    <row r="63" spans="1:16" ht="15">
      <c r="A63" s="66"/>
      <c r="B63" s="66"/>
      <c r="C63" s="66"/>
      <c r="D63" s="66"/>
      <c r="E63" s="66"/>
      <c r="F63" s="66"/>
      <c r="G63" s="66"/>
      <c r="H63" s="66"/>
      <c r="I63" s="105"/>
      <c r="J63" s="105"/>
      <c r="K63" s="105"/>
      <c r="L63" s="105"/>
      <c r="M63" s="105"/>
      <c r="N63" s="105"/>
      <c r="O63" s="105"/>
      <c r="P63" s="105"/>
    </row>
    <row r="64" spans="1:16" ht="15">
      <c r="A64" s="66"/>
      <c r="B64" s="66"/>
      <c r="C64" s="66"/>
      <c r="D64" s="66"/>
      <c r="E64" s="66"/>
      <c r="F64" s="66"/>
      <c r="G64" s="66"/>
      <c r="H64" s="66"/>
      <c r="I64" s="105"/>
      <c r="J64" s="105"/>
      <c r="K64" s="105"/>
      <c r="L64" s="105"/>
      <c r="M64" s="105"/>
      <c r="N64" s="105"/>
      <c r="O64" s="105"/>
      <c r="P64" s="105"/>
    </row>
    <row r="65" spans="1:16" ht="15">
      <c r="A65" s="66"/>
      <c r="B65" s="66"/>
      <c r="C65" s="66"/>
      <c r="D65" s="66"/>
      <c r="E65" s="66"/>
      <c r="F65" s="66"/>
      <c r="G65" s="66"/>
      <c r="H65" s="66"/>
      <c r="I65" s="105"/>
      <c r="J65" s="105"/>
      <c r="K65" s="105"/>
      <c r="L65" s="105"/>
      <c r="M65" s="105"/>
      <c r="N65" s="105"/>
      <c r="O65" s="105"/>
      <c r="P65" s="105"/>
    </row>
    <row r="66" spans="1:16" ht="15">
      <c r="A66" s="66"/>
      <c r="B66" s="66"/>
      <c r="C66" s="66"/>
      <c r="D66" s="66"/>
      <c r="E66" s="66"/>
      <c r="F66" s="66"/>
      <c r="G66" s="66"/>
      <c r="H66" s="66"/>
      <c r="I66" s="105"/>
      <c r="J66" s="105"/>
      <c r="K66" s="105"/>
      <c r="L66" s="105"/>
      <c r="M66" s="105"/>
      <c r="N66" s="105"/>
      <c r="O66" s="105"/>
      <c r="P66" s="105"/>
    </row>
    <row r="67" spans="1:16" ht="15">
      <c r="A67" s="66"/>
      <c r="B67" s="66"/>
      <c r="C67" s="66"/>
      <c r="D67" s="66"/>
      <c r="E67" s="66"/>
      <c r="F67" s="66"/>
      <c r="G67" s="66"/>
      <c r="H67" s="66"/>
      <c r="I67" s="105"/>
      <c r="J67" s="105"/>
      <c r="K67" s="105"/>
      <c r="L67" s="105"/>
      <c r="M67" s="105"/>
      <c r="N67" s="105"/>
      <c r="O67" s="105"/>
      <c r="P67" s="105"/>
    </row>
    <row r="68" spans="1:16" ht="15">
      <c r="A68" s="66"/>
      <c r="B68" s="66"/>
      <c r="C68" s="66"/>
      <c r="D68" s="66"/>
      <c r="E68" s="66"/>
      <c r="F68" s="66"/>
      <c r="G68" s="66"/>
      <c r="H68" s="66"/>
      <c r="I68" s="105"/>
      <c r="J68" s="105"/>
      <c r="K68" s="105"/>
      <c r="L68" s="105"/>
      <c r="M68" s="105"/>
      <c r="N68" s="105"/>
      <c r="O68" s="105"/>
      <c r="P68" s="105"/>
    </row>
    <row r="69" spans="1:16" ht="15">
      <c r="A69" s="66"/>
      <c r="B69" s="66"/>
      <c r="C69" s="66"/>
      <c r="D69" s="82"/>
      <c r="E69" s="66"/>
      <c r="F69" s="66"/>
      <c r="G69" s="66"/>
      <c r="H69" s="66"/>
      <c r="I69" s="105"/>
      <c r="J69" s="105"/>
      <c r="K69" s="105"/>
      <c r="L69" s="105"/>
      <c r="M69" s="105"/>
      <c r="N69" s="105"/>
      <c r="O69" s="105"/>
      <c r="P69" s="105"/>
    </row>
    <row r="70" spans="1:16" ht="15">
      <c r="A70" s="66"/>
      <c r="B70" s="66"/>
      <c r="C70" s="66"/>
      <c r="D70" s="66"/>
      <c r="E70" s="66"/>
      <c r="F70" s="66"/>
      <c r="G70" s="66"/>
      <c r="H70" s="66"/>
      <c r="I70" s="105"/>
      <c r="J70" s="105"/>
      <c r="K70" s="105"/>
      <c r="L70" s="105"/>
      <c r="M70" s="105"/>
      <c r="N70" s="105"/>
      <c r="O70" s="105"/>
      <c r="P70" s="105"/>
    </row>
    <row r="71" spans="1:16" ht="15">
      <c r="A71" s="66"/>
      <c r="B71" s="66"/>
      <c r="C71" s="66"/>
      <c r="D71" s="66"/>
      <c r="E71" s="66"/>
      <c r="F71" s="66"/>
      <c r="G71" s="66"/>
      <c r="H71" s="66"/>
      <c r="I71" s="105"/>
      <c r="J71" s="105"/>
      <c r="K71" s="105"/>
      <c r="L71" s="105"/>
      <c r="M71" s="105"/>
      <c r="N71" s="105"/>
      <c r="O71" s="105"/>
      <c r="P71" s="105"/>
    </row>
    <row r="72" spans="1:16" ht="15">
      <c r="A72" s="66"/>
      <c r="B72" s="66"/>
      <c r="C72" s="82"/>
      <c r="D72" s="82"/>
      <c r="E72" s="66"/>
      <c r="F72" s="66"/>
      <c r="G72" s="66"/>
      <c r="H72" s="66"/>
      <c r="I72" s="105"/>
      <c r="J72" s="105"/>
      <c r="K72" s="105"/>
      <c r="L72" s="105"/>
      <c r="M72" s="105"/>
      <c r="N72" s="105"/>
      <c r="O72" s="105"/>
      <c r="P72" s="105"/>
    </row>
    <row r="73" spans="1:16" ht="15">
      <c r="A73" s="66"/>
      <c r="B73" s="66"/>
      <c r="C73" s="66"/>
      <c r="D73" s="66"/>
      <c r="E73" s="66"/>
      <c r="F73" s="66"/>
      <c r="G73" s="66"/>
      <c r="H73" s="66"/>
      <c r="I73" s="105"/>
      <c r="J73" s="105"/>
      <c r="K73" s="105"/>
      <c r="L73" s="105"/>
      <c r="M73" s="105"/>
      <c r="N73" s="105"/>
      <c r="O73" s="105"/>
      <c r="P73" s="105"/>
    </row>
    <row r="74" spans="1:16" ht="15">
      <c r="A74" s="66"/>
      <c r="B74" s="66"/>
      <c r="C74" s="66"/>
      <c r="D74" s="66"/>
      <c r="E74" s="66"/>
      <c r="F74" s="66"/>
      <c r="G74" s="66"/>
      <c r="H74" s="66"/>
      <c r="I74" s="105"/>
      <c r="J74" s="105"/>
      <c r="K74" s="105"/>
      <c r="L74" s="105"/>
      <c r="M74" s="105"/>
      <c r="N74" s="105"/>
      <c r="O74" s="105"/>
      <c r="P74" s="105"/>
    </row>
    <row r="75" spans="1:16" ht="15">
      <c r="A75" s="82"/>
      <c r="B75" s="82"/>
      <c r="C75" s="82"/>
      <c r="D75" s="82"/>
      <c r="E75" s="66"/>
      <c r="F75" s="66"/>
      <c r="G75" s="66"/>
      <c r="H75" s="66"/>
      <c r="I75" s="105"/>
      <c r="J75" s="105"/>
      <c r="K75" s="105"/>
      <c r="L75" s="105"/>
      <c r="M75" s="105"/>
      <c r="N75" s="105"/>
      <c r="O75" s="105"/>
      <c r="P75" s="105"/>
    </row>
    <row r="76" spans="1:16" ht="15">
      <c r="A76" s="67"/>
      <c r="B76" s="66"/>
      <c r="C76" s="66"/>
      <c r="D76" s="66"/>
      <c r="E76" s="66"/>
      <c r="F76" s="66"/>
      <c r="G76" s="66"/>
      <c r="H76" s="66"/>
      <c r="I76" s="105"/>
      <c r="J76" s="105"/>
      <c r="K76" s="105"/>
      <c r="L76" s="105"/>
      <c r="M76" s="105"/>
      <c r="N76" s="105"/>
      <c r="O76" s="105"/>
      <c r="P76" s="105"/>
    </row>
    <row r="77" spans="1:16" ht="15">
      <c r="A77" s="66"/>
      <c r="B77" s="66"/>
      <c r="C77" s="66"/>
      <c r="D77" s="66"/>
      <c r="E77" s="66"/>
      <c r="F77" s="66"/>
      <c r="G77" s="66"/>
      <c r="H77" s="66"/>
      <c r="I77" s="105"/>
      <c r="J77" s="105"/>
      <c r="K77" s="105"/>
      <c r="L77" s="105"/>
      <c r="M77" s="105"/>
      <c r="N77" s="105"/>
      <c r="O77" s="105"/>
      <c r="P77" s="105"/>
    </row>
    <row r="78" spans="1:16" ht="15">
      <c r="A78" s="66"/>
      <c r="B78" s="66"/>
      <c r="C78" s="66"/>
      <c r="D78" s="66"/>
      <c r="E78" s="66"/>
      <c r="F78" s="66"/>
      <c r="G78" s="66"/>
      <c r="H78" s="66"/>
      <c r="I78" s="105"/>
      <c r="J78" s="105"/>
      <c r="K78" s="105"/>
      <c r="L78" s="105"/>
      <c r="M78" s="105"/>
      <c r="N78" s="105"/>
      <c r="O78" s="105"/>
      <c r="P78" s="105"/>
    </row>
    <row r="79" spans="1:16" ht="15">
      <c r="A79" s="66"/>
      <c r="B79" s="66"/>
      <c r="C79" s="66"/>
      <c r="D79" s="66"/>
      <c r="E79" s="66"/>
      <c r="F79" s="66"/>
      <c r="G79" s="66"/>
      <c r="H79" s="66"/>
      <c r="I79" s="105"/>
      <c r="J79" s="105"/>
      <c r="K79" s="105"/>
      <c r="L79" s="105"/>
      <c r="M79" s="105"/>
      <c r="N79" s="105"/>
      <c r="O79" s="105"/>
      <c r="P79" s="105"/>
    </row>
    <row r="80" spans="1:16" ht="15">
      <c r="A80" s="66"/>
      <c r="B80" s="66"/>
      <c r="C80" s="66"/>
      <c r="D80" s="66"/>
      <c r="E80" s="66"/>
      <c r="F80" s="66"/>
      <c r="G80" s="66"/>
      <c r="H80" s="66"/>
      <c r="I80" s="105"/>
      <c r="J80" s="105"/>
      <c r="K80" s="105"/>
      <c r="L80" s="105"/>
      <c r="M80" s="105"/>
      <c r="N80" s="105"/>
      <c r="O80" s="105"/>
      <c r="P80" s="105"/>
    </row>
    <row r="81" spans="1:16" ht="15">
      <c r="A81" s="66"/>
      <c r="B81" s="66"/>
      <c r="C81" s="66"/>
      <c r="D81" s="66"/>
      <c r="E81" s="66"/>
      <c r="F81" s="66"/>
      <c r="G81" s="66"/>
      <c r="H81" s="66"/>
      <c r="I81" s="105"/>
      <c r="J81" s="105"/>
      <c r="K81" s="105"/>
      <c r="L81" s="105"/>
      <c r="M81" s="105"/>
      <c r="N81" s="105"/>
      <c r="O81" s="105"/>
      <c r="P81" s="105"/>
    </row>
    <row r="82" spans="1:16" ht="15">
      <c r="A82" s="66"/>
      <c r="B82" s="66"/>
      <c r="C82" s="66"/>
      <c r="D82" s="66"/>
      <c r="E82" s="66"/>
      <c r="F82" s="66"/>
      <c r="G82" s="66"/>
      <c r="H82" s="66"/>
      <c r="I82" s="105"/>
      <c r="J82" s="105"/>
      <c r="K82" s="105"/>
      <c r="L82" s="105"/>
      <c r="M82" s="105"/>
      <c r="N82" s="105"/>
      <c r="O82" s="105"/>
      <c r="P82" s="105"/>
    </row>
    <row r="83" spans="1:16" ht="15">
      <c r="A83" s="66"/>
      <c r="B83" s="66"/>
      <c r="C83" s="66"/>
      <c r="D83" s="66"/>
      <c r="E83" s="66"/>
      <c r="F83" s="66"/>
      <c r="G83" s="66"/>
      <c r="H83" s="66"/>
      <c r="I83" s="105"/>
      <c r="J83" s="105"/>
      <c r="K83" s="105"/>
      <c r="L83" s="105"/>
      <c r="M83" s="105"/>
      <c r="N83" s="105"/>
      <c r="O83" s="105"/>
      <c r="P83" s="105"/>
    </row>
    <row r="84" spans="1:16" ht="15">
      <c r="A84" s="66"/>
      <c r="B84" s="66"/>
      <c r="C84" s="66"/>
      <c r="D84" s="66"/>
      <c r="E84" s="66"/>
      <c r="F84" s="66"/>
      <c r="G84" s="66"/>
      <c r="H84" s="66"/>
      <c r="I84" s="105"/>
      <c r="J84" s="105"/>
      <c r="K84" s="105"/>
      <c r="L84" s="105"/>
      <c r="M84" s="105"/>
      <c r="N84" s="105"/>
      <c r="O84" s="105"/>
      <c r="P84" s="105"/>
    </row>
    <row r="85" spans="1:16" ht="15">
      <c r="A85" s="66"/>
      <c r="B85" s="66"/>
      <c r="C85" s="66"/>
      <c r="D85" s="66"/>
      <c r="E85" s="66"/>
      <c r="F85" s="66"/>
      <c r="G85" s="66"/>
      <c r="H85" s="66"/>
      <c r="I85" s="105"/>
      <c r="J85" s="105"/>
      <c r="K85" s="105"/>
      <c r="L85" s="105"/>
      <c r="M85" s="105"/>
      <c r="N85" s="105"/>
      <c r="O85" s="105"/>
      <c r="P85" s="105"/>
    </row>
    <row r="86" spans="1:16" ht="15">
      <c r="A86" s="66"/>
      <c r="B86" s="66"/>
      <c r="C86" s="66"/>
      <c r="D86" s="66"/>
      <c r="E86" s="66"/>
      <c r="F86" s="66"/>
      <c r="G86" s="66"/>
      <c r="H86" s="66"/>
      <c r="I86" s="105"/>
      <c r="J86" s="105"/>
      <c r="K86" s="105"/>
      <c r="L86" s="105"/>
      <c r="M86" s="105"/>
      <c r="N86" s="105"/>
      <c r="O86" s="105"/>
      <c r="P86" s="105"/>
    </row>
    <row r="87" spans="1:16" ht="15">
      <c r="A87" s="66"/>
      <c r="B87" s="66"/>
      <c r="C87" s="66"/>
      <c r="D87" s="66"/>
      <c r="E87" s="66"/>
      <c r="F87" s="66"/>
      <c r="G87" s="66"/>
      <c r="H87" s="66"/>
      <c r="I87" s="105"/>
      <c r="J87" s="105"/>
      <c r="K87" s="105"/>
      <c r="L87" s="105"/>
      <c r="M87" s="105"/>
      <c r="N87" s="105"/>
      <c r="O87" s="105"/>
      <c r="P87" s="105"/>
    </row>
    <row r="88" spans="1:16" ht="15">
      <c r="A88" s="66"/>
      <c r="B88" s="66"/>
      <c r="C88" s="66"/>
      <c r="D88" s="66"/>
      <c r="E88" s="66"/>
      <c r="F88" s="66"/>
      <c r="G88" s="66"/>
      <c r="H88" s="66"/>
      <c r="I88" s="105"/>
      <c r="J88" s="105"/>
      <c r="K88" s="105"/>
      <c r="L88" s="105"/>
      <c r="M88" s="105"/>
      <c r="N88" s="105"/>
      <c r="O88" s="105"/>
      <c r="P88" s="105"/>
    </row>
    <row r="89" spans="1:16" ht="15">
      <c r="A89" s="66"/>
      <c r="B89" s="66"/>
      <c r="C89" s="66"/>
      <c r="D89" s="66"/>
      <c r="E89" s="66"/>
      <c r="F89" s="66"/>
      <c r="G89" s="66"/>
      <c r="H89" s="66"/>
      <c r="I89" s="105"/>
      <c r="J89" s="105"/>
      <c r="K89" s="105"/>
      <c r="L89" s="105"/>
      <c r="M89" s="105"/>
      <c r="N89" s="105"/>
      <c r="O89" s="105"/>
      <c r="P89" s="105"/>
    </row>
    <row r="90" spans="1:16" ht="15">
      <c r="A90" s="66"/>
      <c r="B90" s="66"/>
      <c r="C90" s="66"/>
      <c r="D90" s="66"/>
      <c r="E90" s="66"/>
      <c r="F90" s="66"/>
      <c r="G90" s="66"/>
      <c r="H90" s="66"/>
      <c r="I90" s="105"/>
      <c r="J90" s="105"/>
      <c r="K90" s="105"/>
      <c r="L90" s="105"/>
      <c r="M90" s="105"/>
      <c r="N90" s="105"/>
      <c r="O90" s="105"/>
      <c r="P90" s="105"/>
    </row>
    <row r="91" spans="1:16" ht="15">
      <c r="A91" s="66"/>
      <c r="B91" s="66"/>
      <c r="C91" s="66"/>
      <c r="D91" s="66"/>
      <c r="E91" s="66"/>
      <c r="F91" s="66"/>
      <c r="G91" s="66"/>
      <c r="H91" s="66"/>
      <c r="I91" s="105"/>
      <c r="J91" s="105"/>
      <c r="K91" s="105"/>
      <c r="L91" s="105"/>
      <c r="M91" s="105"/>
      <c r="N91" s="105"/>
      <c r="O91" s="105"/>
      <c r="P91" s="105"/>
    </row>
    <row r="92" spans="1:16" ht="15">
      <c r="A92" s="66"/>
      <c r="B92" s="66"/>
      <c r="C92" s="82"/>
      <c r="D92" s="82"/>
      <c r="E92" s="66"/>
      <c r="F92" s="66"/>
      <c r="G92" s="66"/>
      <c r="H92" s="66"/>
      <c r="I92" s="105"/>
      <c r="J92" s="105"/>
      <c r="K92" s="105"/>
      <c r="L92" s="105"/>
      <c r="M92" s="105"/>
      <c r="N92" s="105"/>
      <c r="O92" s="105"/>
      <c r="P92" s="105"/>
    </row>
    <row r="93" spans="1:16" ht="15">
      <c r="A93" s="66"/>
      <c r="B93" s="66"/>
      <c r="C93" s="66"/>
      <c r="D93" s="66"/>
      <c r="E93" s="66"/>
      <c r="F93" s="66"/>
      <c r="G93" s="66"/>
      <c r="H93" s="66"/>
      <c r="I93" s="105"/>
      <c r="J93" s="105"/>
      <c r="K93" s="105"/>
      <c r="L93" s="105"/>
      <c r="M93" s="105"/>
      <c r="N93" s="105"/>
      <c r="O93" s="105"/>
      <c r="P93" s="105"/>
    </row>
    <row r="94" spans="1:16" ht="15">
      <c r="A94" s="66"/>
      <c r="B94" s="66"/>
      <c r="C94" s="66"/>
      <c r="D94" s="66"/>
      <c r="E94" s="66"/>
      <c r="F94" s="66"/>
      <c r="G94" s="66"/>
      <c r="H94" s="66"/>
      <c r="I94" s="105"/>
      <c r="J94" s="105"/>
      <c r="K94" s="105"/>
      <c r="L94" s="105"/>
      <c r="M94" s="105"/>
      <c r="N94" s="105"/>
      <c r="O94" s="105"/>
      <c r="P94" s="105"/>
    </row>
    <row r="95" spans="1:16" ht="15">
      <c r="A95" s="66"/>
      <c r="B95" s="66"/>
      <c r="C95" s="82"/>
      <c r="D95" s="82"/>
      <c r="E95" s="66"/>
      <c r="F95" s="66"/>
      <c r="G95" s="66"/>
      <c r="H95" s="66"/>
      <c r="I95" s="105"/>
      <c r="J95" s="105"/>
      <c r="K95" s="105"/>
      <c r="L95" s="105"/>
      <c r="M95" s="105"/>
      <c r="N95" s="105"/>
      <c r="O95" s="105"/>
      <c r="P95" s="105"/>
    </row>
    <row r="96" spans="1:16" ht="15">
      <c r="A96" s="66"/>
      <c r="B96" s="66"/>
      <c r="C96" s="66"/>
      <c r="D96" s="66"/>
      <c r="E96" s="66"/>
      <c r="F96" s="66"/>
      <c r="G96" s="66"/>
      <c r="H96" s="66"/>
      <c r="I96" s="105"/>
      <c r="J96" s="105"/>
      <c r="K96" s="105"/>
      <c r="L96" s="105"/>
      <c r="M96" s="105"/>
      <c r="N96" s="105"/>
      <c r="O96" s="105"/>
      <c r="P96" s="105"/>
    </row>
    <row r="97" spans="1:16" ht="15">
      <c r="A97" s="66"/>
      <c r="B97" s="66"/>
      <c r="C97" s="66"/>
      <c r="D97" s="66"/>
      <c r="E97" s="66"/>
      <c r="F97" s="66"/>
      <c r="G97" s="66"/>
      <c r="H97" s="66"/>
      <c r="I97" s="105"/>
      <c r="J97" s="105"/>
      <c r="K97" s="105"/>
      <c r="L97" s="105"/>
      <c r="M97" s="105"/>
      <c r="N97" s="105"/>
      <c r="O97" s="105"/>
      <c r="P97" s="105"/>
    </row>
    <row r="98" spans="1:16" ht="15">
      <c r="A98" s="82"/>
      <c r="B98" s="82"/>
      <c r="C98" s="82"/>
      <c r="D98" s="82"/>
      <c r="E98" s="66"/>
      <c r="F98" s="66"/>
      <c r="G98" s="66"/>
      <c r="H98" s="66"/>
      <c r="I98" s="105"/>
      <c r="J98" s="105"/>
      <c r="K98" s="105"/>
      <c r="L98" s="105"/>
      <c r="M98" s="105"/>
      <c r="N98" s="105"/>
      <c r="O98" s="105"/>
      <c r="P98" s="105"/>
    </row>
    <row r="99" spans="1:16" ht="15">
      <c r="A99" s="67"/>
      <c r="B99" s="66"/>
      <c r="C99" s="66"/>
      <c r="D99" s="66"/>
      <c r="E99" s="66"/>
      <c r="F99" s="66"/>
      <c r="G99" s="66"/>
      <c r="H99" s="66"/>
      <c r="I99" s="105"/>
      <c r="J99" s="105"/>
      <c r="K99" s="105"/>
      <c r="L99" s="105"/>
      <c r="M99" s="105"/>
      <c r="N99" s="105"/>
      <c r="O99" s="105"/>
      <c r="P99" s="105"/>
    </row>
    <row r="100" spans="1:16" ht="15">
      <c r="A100" s="66"/>
      <c r="B100" s="66"/>
      <c r="C100" s="66"/>
      <c r="D100" s="66"/>
      <c r="E100" s="66"/>
      <c r="F100" s="66"/>
      <c r="G100" s="66"/>
      <c r="H100" s="66"/>
      <c r="I100" s="105"/>
      <c r="J100" s="105"/>
      <c r="K100" s="105"/>
      <c r="L100" s="105"/>
      <c r="M100" s="105"/>
      <c r="N100" s="105"/>
      <c r="O100" s="105"/>
      <c r="P100" s="105"/>
    </row>
    <row r="101" spans="1:16" ht="15">
      <c r="A101" s="66"/>
      <c r="B101" s="66"/>
      <c r="C101" s="66"/>
      <c r="D101" s="66"/>
      <c r="E101" s="66"/>
      <c r="F101" s="66"/>
      <c r="G101" s="66"/>
      <c r="H101" s="66"/>
      <c r="I101" s="105"/>
      <c r="J101" s="105"/>
      <c r="K101" s="105"/>
      <c r="L101" s="105"/>
      <c r="M101" s="105"/>
      <c r="N101" s="105"/>
      <c r="O101" s="105"/>
      <c r="P101" s="105"/>
    </row>
    <row r="102" spans="1:16" ht="15">
      <c r="A102" s="66"/>
      <c r="B102" s="66"/>
      <c r="C102" s="66"/>
      <c r="D102" s="66"/>
      <c r="E102" s="66"/>
      <c r="F102" s="66"/>
      <c r="G102" s="66"/>
      <c r="H102" s="66"/>
      <c r="I102" s="105"/>
      <c r="J102" s="105"/>
      <c r="K102" s="105"/>
      <c r="L102" s="105"/>
      <c r="M102" s="105"/>
      <c r="N102" s="105"/>
      <c r="O102" s="105"/>
      <c r="P102" s="105"/>
    </row>
    <row r="103" spans="1:16" ht="15">
      <c r="A103" s="66"/>
      <c r="B103" s="66"/>
      <c r="C103" s="66"/>
      <c r="D103" s="66"/>
      <c r="E103" s="66"/>
      <c r="F103" s="66"/>
      <c r="G103" s="66"/>
      <c r="H103" s="66"/>
      <c r="I103" s="105"/>
      <c r="J103" s="105"/>
      <c r="K103" s="105"/>
      <c r="L103" s="105"/>
      <c r="M103" s="105"/>
      <c r="N103" s="105"/>
      <c r="O103" s="105"/>
      <c r="P103" s="105"/>
    </row>
    <row r="104" spans="1:16" ht="15">
      <c r="A104" s="66"/>
      <c r="B104" s="66"/>
      <c r="C104" s="66"/>
      <c r="D104" s="66"/>
      <c r="E104" s="66"/>
      <c r="F104" s="66"/>
      <c r="G104" s="66"/>
      <c r="H104" s="66"/>
      <c r="I104" s="105"/>
      <c r="J104" s="105"/>
      <c r="K104" s="105"/>
      <c r="L104" s="105"/>
      <c r="M104" s="105"/>
      <c r="N104" s="105"/>
      <c r="O104" s="105"/>
      <c r="P104" s="105"/>
    </row>
    <row r="105" spans="1:16" ht="15">
      <c r="A105" s="66"/>
      <c r="B105" s="66"/>
      <c r="C105" s="66"/>
      <c r="D105" s="66"/>
      <c r="E105" s="66"/>
      <c r="F105" s="66"/>
      <c r="G105" s="66"/>
      <c r="H105" s="66"/>
      <c r="I105" s="105"/>
      <c r="J105" s="105"/>
      <c r="K105" s="105"/>
      <c r="L105" s="105"/>
      <c r="M105" s="105"/>
      <c r="N105" s="105"/>
      <c r="O105" s="105"/>
      <c r="P105" s="105"/>
    </row>
    <row r="106" spans="1:16" ht="15">
      <c r="A106" s="66"/>
      <c r="B106" s="66"/>
      <c r="C106" s="66"/>
      <c r="D106" s="66"/>
      <c r="E106" s="66"/>
      <c r="F106" s="66"/>
      <c r="G106" s="66"/>
      <c r="H106" s="66"/>
      <c r="I106" s="105"/>
      <c r="J106" s="105"/>
      <c r="K106" s="105"/>
      <c r="L106" s="105"/>
      <c r="M106" s="105"/>
      <c r="N106" s="105"/>
      <c r="O106" s="105"/>
      <c r="P106" s="105"/>
    </row>
    <row r="107" spans="1:16" ht="15">
      <c r="A107" s="66"/>
      <c r="B107" s="66"/>
      <c r="C107" s="66"/>
      <c r="D107" s="66"/>
      <c r="E107" s="66"/>
      <c r="F107" s="66"/>
      <c r="G107" s="66"/>
      <c r="H107" s="66"/>
      <c r="I107" s="105"/>
      <c r="J107" s="105"/>
      <c r="K107" s="105"/>
      <c r="L107" s="105"/>
      <c r="M107" s="105"/>
      <c r="N107" s="105"/>
      <c r="O107" s="105"/>
      <c r="P107" s="105"/>
    </row>
    <row r="108" spans="1:16" ht="15">
      <c r="A108" s="66"/>
      <c r="B108" s="66"/>
      <c r="C108" s="66"/>
      <c r="D108" s="66"/>
      <c r="E108" s="66"/>
      <c r="F108" s="66"/>
      <c r="G108" s="66"/>
      <c r="H108" s="66"/>
      <c r="I108" s="105"/>
      <c r="J108" s="105"/>
      <c r="K108" s="105"/>
      <c r="L108" s="105"/>
      <c r="M108" s="105"/>
      <c r="N108" s="105"/>
      <c r="O108" s="105"/>
      <c r="P108" s="105"/>
    </row>
    <row r="109" spans="1:16" ht="15">
      <c r="A109" s="66"/>
      <c r="B109" s="66"/>
      <c r="C109" s="66"/>
      <c r="D109" s="66"/>
      <c r="E109" s="66"/>
      <c r="F109" s="66"/>
      <c r="G109" s="66"/>
      <c r="H109" s="66"/>
      <c r="I109" s="105"/>
      <c r="J109" s="105"/>
      <c r="K109" s="105"/>
      <c r="L109" s="105"/>
      <c r="M109" s="105"/>
      <c r="N109" s="105"/>
      <c r="O109" s="105"/>
      <c r="P109" s="105"/>
    </row>
    <row r="110" spans="1:16" ht="15">
      <c r="A110" s="66"/>
      <c r="B110" s="66"/>
      <c r="C110" s="66"/>
      <c r="D110" s="66"/>
      <c r="E110" s="66"/>
      <c r="F110" s="66"/>
      <c r="G110" s="66"/>
      <c r="H110" s="66"/>
      <c r="I110" s="105"/>
      <c r="J110" s="105"/>
      <c r="K110" s="105"/>
      <c r="L110" s="105"/>
      <c r="M110" s="105"/>
      <c r="N110" s="105"/>
      <c r="O110" s="105"/>
      <c r="P110" s="105"/>
    </row>
    <row r="111" spans="1:16" ht="15">
      <c r="A111" s="66"/>
      <c r="B111" s="66"/>
      <c r="C111" s="66"/>
      <c r="D111" s="66"/>
      <c r="E111" s="66"/>
      <c r="F111" s="66"/>
      <c r="G111" s="66"/>
      <c r="H111" s="66"/>
      <c r="I111" s="105"/>
      <c r="J111" s="105"/>
      <c r="K111" s="105"/>
      <c r="L111" s="105"/>
      <c r="M111" s="105"/>
      <c r="N111" s="105"/>
      <c r="O111" s="105"/>
      <c r="P111" s="105"/>
    </row>
    <row r="112" spans="1:16" ht="15">
      <c r="A112" s="66"/>
      <c r="B112" s="66"/>
      <c r="C112" s="66"/>
      <c r="D112" s="66"/>
      <c r="E112" s="66"/>
      <c r="F112" s="66"/>
      <c r="G112" s="66"/>
      <c r="H112" s="66"/>
      <c r="I112" s="105"/>
      <c r="J112" s="105"/>
      <c r="K112" s="105"/>
      <c r="L112" s="105"/>
      <c r="M112" s="105"/>
      <c r="N112" s="105"/>
      <c r="O112" s="105"/>
      <c r="P112" s="105"/>
    </row>
    <row r="113" spans="1:16" ht="15">
      <c r="A113" s="66"/>
      <c r="B113" s="66"/>
      <c r="C113" s="66"/>
      <c r="D113" s="66"/>
      <c r="E113" s="66"/>
      <c r="F113" s="66"/>
      <c r="G113" s="66"/>
      <c r="H113" s="66"/>
      <c r="I113" s="105"/>
      <c r="J113" s="105"/>
      <c r="K113" s="105"/>
      <c r="L113" s="105"/>
      <c r="M113" s="105"/>
      <c r="N113" s="105"/>
      <c r="O113" s="105"/>
      <c r="P113" s="105"/>
    </row>
    <row r="114" spans="1:16" ht="15">
      <c r="A114" s="66"/>
      <c r="B114" s="66"/>
      <c r="C114" s="66"/>
      <c r="D114" s="66"/>
      <c r="E114" s="66"/>
      <c r="F114" s="66"/>
      <c r="G114" s="66"/>
      <c r="H114" s="66"/>
      <c r="I114" s="105"/>
      <c r="J114" s="105"/>
      <c r="K114" s="105"/>
      <c r="L114" s="105"/>
      <c r="M114" s="105"/>
      <c r="N114" s="105"/>
      <c r="O114" s="105"/>
      <c r="P114" s="105"/>
    </row>
    <row r="115" spans="1:16" ht="15">
      <c r="A115" s="66"/>
      <c r="B115" s="66"/>
      <c r="C115" s="82"/>
      <c r="D115" s="82"/>
      <c r="E115" s="66"/>
      <c r="F115" s="66"/>
      <c r="G115" s="66"/>
      <c r="H115" s="66"/>
      <c r="I115" s="105"/>
      <c r="J115" s="105"/>
      <c r="K115" s="105"/>
      <c r="L115" s="105"/>
      <c r="M115" s="105"/>
      <c r="N115" s="105"/>
      <c r="O115" s="105"/>
      <c r="P115" s="105"/>
    </row>
    <row r="116" spans="1:16" ht="15">
      <c r="A116" s="66"/>
      <c r="B116" s="66"/>
      <c r="C116" s="66"/>
      <c r="D116" s="66"/>
      <c r="E116" s="66"/>
      <c r="F116" s="66"/>
      <c r="G116" s="66"/>
      <c r="H116" s="66"/>
      <c r="I116" s="105"/>
      <c r="J116" s="105"/>
      <c r="K116" s="105"/>
      <c r="L116" s="105"/>
      <c r="M116" s="105"/>
      <c r="N116" s="105"/>
      <c r="O116" s="105"/>
      <c r="P116" s="105"/>
    </row>
    <row r="117" spans="1:16" ht="15">
      <c r="A117" s="66"/>
      <c r="B117" s="66"/>
      <c r="C117" s="66"/>
      <c r="D117" s="66"/>
      <c r="E117" s="66"/>
      <c r="F117" s="66"/>
      <c r="G117" s="66"/>
      <c r="H117" s="66"/>
      <c r="I117" s="105"/>
      <c r="J117" s="105"/>
      <c r="K117" s="105"/>
      <c r="L117" s="105"/>
      <c r="M117" s="105"/>
      <c r="N117" s="105"/>
      <c r="O117" s="105"/>
      <c r="P117" s="105"/>
    </row>
    <row r="118" spans="1:16" ht="15">
      <c r="A118" s="66"/>
      <c r="B118" s="66"/>
      <c r="C118" s="82"/>
      <c r="D118" s="82"/>
      <c r="E118" s="66"/>
      <c r="F118" s="66"/>
      <c r="G118" s="66"/>
      <c r="H118" s="66"/>
      <c r="I118" s="105"/>
      <c r="J118" s="105"/>
      <c r="K118" s="105"/>
      <c r="L118" s="105"/>
      <c r="M118" s="105"/>
      <c r="N118" s="105"/>
      <c r="O118" s="105"/>
      <c r="P118" s="105"/>
    </row>
    <row r="119" spans="1:16" ht="15">
      <c r="A119" s="66"/>
      <c r="B119" s="66"/>
      <c r="C119" s="66"/>
      <c r="D119" s="66"/>
      <c r="E119" s="66"/>
      <c r="F119" s="66"/>
      <c r="G119" s="66"/>
      <c r="H119" s="66"/>
      <c r="I119" s="105"/>
      <c r="J119" s="105"/>
      <c r="K119" s="105"/>
      <c r="L119" s="105"/>
      <c r="M119" s="105"/>
      <c r="N119" s="105"/>
      <c r="O119" s="105"/>
      <c r="P119" s="105"/>
    </row>
    <row r="120" spans="1:16" ht="15">
      <c r="A120" s="66"/>
      <c r="B120" s="66"/>
      <c r="C120" s="66"/>
      <c r="D120" s="66"/>
      <c r="E120" s="66"/>
      <c r="F120" s="66"/>
      <c r="G120" s="66"/>
      <c r="H120" s="66"/>
      <c r="I120" s="105"/>
      <c r="J120" s="105"/>
      <c r="K120" s="105"/>
      <c r="L120" s="105"/>
      <c r="M120" s="105"/>
      <c r="N120" s="105"/>
      <c r="O120" s="105"/>
      <c r="P120" s="105"/>
    </row>
    <row r="121" spans="1:16" ht="15">
      <c r="A121" s="82"/>
      <c r="B121" s="82"/>
      <c r="C121" s="82"/>
      <c r="D121" s="82"/>
      <c r="E121" s="66"/>
      <c r="F121" s="66"/>
      <c r="G121" s="66"/>
      <c r="H121" s="66"/>
      <c r="I121" s="105"/>
      <c r="J121" s="105"/>
      <c r="K121" s="105"/>
      <c r="L121" s="105"/>
      <c r="M121" s="105"/>
      <c r="N121" s="105"/>
      <c r="O121" s="105"/>
      <c r="P121" s="105"/>
    </row>
    <row r="122" spans="1:16" ht="15">
      <c r="A122" s="67"/>
      <c r="B122" s="66"/>
      <c r="C122" s="66"/>
      <c r="D122" s="66"/>
      <c r="E122" s="66"/>
      <c r="F122" s="66"/>
      <c r="G122" s="66"/>
      <c r="H122" s="66"/>
      <c r="I122" s="105"/>
      <c r="J122" s="105"/>
      <c r="K122" s="105"/>
      <c r="L122" s="105"/>
      <c r="M122" s="105"/>
      <c r="N122" s="105"/>
      <c r="O122" s="105"/>
      <c r="P122" s="105"/>
    </row>
    <row r="123" spans="1:16" ht="15">
      <c r="A123" s="66"/>
      <c r="B123" s="66"/>
      <c r="C123" s="66"/>
      <c r="D123" s="66"/>
      <c r="E123" s="66"/>
      <c r="F123" s="66"/>
      <c r="G123" s="66"/>
      <c r="H123" s="66"/>
      <c r="I123" s="105"/>
      <c r="J123" s="105"/>
      <c r="K123" s="105"/>
      <c r="L123" s="105"/>
      <c r="M123" s="105"/>
      <c r="N123" s="105"/>
      <c r="O123" s="105"/>
      <c r="P123" s="105"/>
    </row>
    <row r="124" spans="1:16" ht="15">
      <c r="A124" s="66"/>
      <c r="B124" s="66"/>
      <c r="C124" s="66"/>
      <c r="D124" s="66"/>
      <c r="E124" s="66"/>
      <c r="F124" s="66"/>
      <c r="G124" s="66"/>
      <c r="H124" s="66"/>
      <c r="I124" s="105"/>
      <c r="J124" s="105"/>
      <c r="K124" s="105"/>
      <c r="L124" s="105"/>
      <c r="M124" s="105"/>
      <c r="N124" s="105"/>
      <c r="O124" s="105"/>
      <c r="P124" s="105"/>
    </row>
    <row r="125" spans="1:16" ht="15">
      <c r="A125" s="66"/>
      <c r="B125" s="66"/>
      <c r="C125" s="66"/>
      <c r="D125" s="66"/>
      <c r="E125" s="66"/>
      <c r="F125" s="66"/>
      <c r="G125" s="66"/>
      <c r="H125" s="66"/>
      <c r="I125" s="105"/>
      <c r="J125" s="105"/>
      <c r="K125" s="105"/>
      <c r="L125" s="105"/>
      <c r="M125" s="105"/>
      <c r="N125" s="105"/>
      <c r="O125" s="105"/>
      <c r="P125" s="105"/>
    </row>
    <row r="126" spans="1:16" ht="15">
      <c r="A126" s="66"/>
      <c r="B126" s="66"/>
      <c r="C126" s="66"/>
      <c r="D126" s="66"/>
      <c r="E126" s="66"/>
      <c r="F126" s="66"/>
      <c r="G126" s="66"/>
      <c r="H126" s="66"/>
      <c r="I126" s="105"/>
      <c r="J126" s="105"/>
      <c r="K126" s="105"/>
      <c r="L126" s="105"/>
      <c r="M126" s="105"/>
      <c r="N126" s="105"/>
      <c r="O126" s="105"/>
      <c r="P126" s="105"/>
    </row>
    <row r="127" spans="1:16" ht="15">
      <c r="A127" s="66"/>
      <c r="B127" s="66"/>
      <c r="C127" s="66"/>
      <c r="D127" s="66"/>
      <c r="E127" s="66"/>
      <c r="F127" s="66"/>
      <c r="G127" s="66"/>
      <c r="H127" s="66"/>
      <c r="I127" s="105"/>
      <c r="J127" s="105"/>
      <c r="K127" s="105"/>
      <c r="L127" s="105"/>
      <c r="M127" s="105"/>
      <c r="N127" s="105"/>
      <c r="O127" s="105"/>
      <c r="P127" s="105"/>
    </row>
    <row r="128" spans="1:16" ht="15">
      <c r="A128" s="66"/>
      <c r="B128" s="66"/>
      <c r="C128" s="66"/>
      <c r="D128" s="66"/>
      <c r="E128" s="66"/>
      <c r="F128" s="66"/>
      <c r="G128" s="66"/>
      <c r="H128" s="66"/>
      <c r="I128" s="105"/>
      <c r="J128" s="105"/>
      <c r="K128" s="105"/>
      <c r="L128" s="105"/>
      <c r="M128" s="105"/>
      <c r="N128" s="105"/>
      <c r="O128" s="105"/>
      <c r="P128" s="105"/>
    </row>
    <row r="129" spans="1:16" ht="15">
      <c r="A129" s="66"/>
      <c r="B129" s="66"/>
      <c r="C129" s="66"/>
      <c r="D129" s="66"/>
      <c r="E129" s="66"/>
      <c r="F129" s="66"/>
      <c r="G129" s="66"/>
      <c r="H129" s="66"/>
      <c r="I129" s="105"/>
      <c r="J129" s="105"/>
      <c r="K129" s="105"/>
      <c r="L129" s="105"/>
      <c r="M129" s="105"/>
      <c r="N129" s="105"/>
      <c r="O129" s="105"/>
      <c r="P129" s="105"/>
    </row>
    <row r="130" spans="1:16" ht="15">
      <c r="A130" s="66"/>
      <c r="B130" s="66"/>
      <c r="C130" s="66"/>
      <c r="D130" s="66"/>
      <c r="E130" s="66"/>
      <c r="F130" s="66"/>
      <c r="G130" s="66"/>
      <c r="H130" s="66"/>
      <c r="I130" s="105"/>
      <c r="J130" s="105"/>
      <c r="K130" s="105"/>
      <c r="L130" s="105"/>
      <c r="M130" s="105"/>
      <c r="N130" s="105"/>
      <c r="O130" s="105"/>
      <c r="P130" s="105"/>
    </row>
    <row r="131" spans="1:16" ht="15">
      <c r="A131" s="66"/>
      <c r="B131" s="66"/>
      <c r="C131" s="66"/>
      <c r="D131" s="66"/>
      <c r="E131" s="66"/>
      <c r="F131" s="66"/>
      <c r="G131" s="66"/>
      <c r="H131" s="66"/>
      <c r="I131" s="105"/>
      <c r="J131" s="105"/>
      <c r="K131" s="105"/>
      <c r="L131" s="105"/>
      <c r="M131" s="105"/>
      <c r="N131" s="105"/>
      <c r="O131" s="105"/>
      <c r="P131" s="105"/>
    </row>
    <row r="132" spans="1:16" ht="15">
      <c r="A132" s="66"/>
      <c r="B132" s="66"/>
      <c r="C132" s="66"/>
      <c r="D132" s="66"/>
      <c r="E132" s="66"/>
      <c r="F132" s="66"/>
      <c r="G132" s="66"/>
      <c r="H132" s="66"/>
      <c r="I132" s="105"/>
      <c r="J132" s="105"/>
      <c r="K132" s="105"/>
      <c r="L132" s="105"/>
      <c r="M132" s="105"/>
      <c r="N132" s="105"/>
      <c r="O132" s="105"/>
      <c r="P132" s="105"/>
    </row>
    <row r="133" spans="1:16" ht="15">
      <c r="A133" s="66"/>
      <c r="B133" s="66"/>
      <c r="C133" s="66"/>
      <c r="D133" s="66"/>
      <c r="E133" s="66"/>
      <c r="F133" s="66"/>
      <c r="G133" s="66"/>
      <c r="H133" s="66"/>
      <c r="I133" s="105"/>
      <c r="J133" s="105"/>
      <c r="K133" s="105"/>
      <c r="L133" s="105"/>
      <c r="M133" s="105"/>
      <c r="N133" s="105"/>
      <c r="O133" s="105"/>
      <c r="P133" s="105"/>
    </row>
    <row r="134" spans="1:16" ht="15">
      <c r="A134" s="66"/>
      <c r="B134" s="66"/>
      <c r="C134" s="66"/>
      <c r="D134" s="66"/>
      <c r="E134" s="66"/>
      <c r="F134" s="66"/>
      <c r="G134" s="66"/>
      <c r="H134" s="66"/>
      <c r="I134" s="105"/>
      <c r="J134" s="105"/>
      <c r="K134" s="105"/>
      <c r="L134" s="105"/>
      <c r="M134" s="105"/>
      <c r="N134" s="105"/>
      <c r="O134" s="105"/>
      <c r="P134" s="105"/>
    </row>
    <row r="135" spans="1:16" ht="15">
      <c r="A135" s="66"/>
      <c r="B135" s="66"/>
      <c r="C135" s="66"/>
      <c r="D135" s="66"/>
      <c r="E135" s="66"/>
      <c r="F135" s="66"/>
      <c r="G135" s="66"/>
      <c r="H135" s="66"/>
      <c r="I135" s="105"/>
      <c r="J135" s="105"/>
      <c r="K135" s="105"/>
      <c r="L135" s="105"/>
      <c r="M135" s="105"/>
      <c r="N135" s="105"/>
      <c r="O135" s="105"/>
      <c r="P135" s="105"/>
    </row>
    <row r="136" spans="1:16" ht="15">
      <c r="A136" s="66"/>
      <c r="B136" s="66"/>
      <c r="C136" s="66"/>
      <c r="D136" s="66"/>
      <c r="E136" s="66"/>
      <c r="F136" s="66"/>
      <c r="G136" s="66"/>
      <c r="H136" s="66"/>
      <c r="I136" s="105"/>
      <c r="J136" s="105"/>
      <c r="K136" s="105"/>
      <c r="L136" s="105"/>
      <c r="M136" s="105"/>
      <c r="N136" s="105"/>
      <c r="O136" s="105"/>
      <c r="P136" s="105"/>
    </row>
    <row r="137" spans="1:16" ht="15">
      <c r="A137" s="66"/>
      <c r="B137" s="66"/>
      <c r="C137" s="66"/>
      <c r="D137" s="66"/>
      <c r="E137" s="66"/>
      <c r="F137" s="66"/>
      <c r="G137" s="66"/>
      <c r="H137" s="66"/>
      <c r="I137" s="105"/>
      <c r="J137" s="105"/>
      <c r="K137" s="105"/>
      <c r="L137" s="105"/>
      <c r="M137" s="105"/>
      <c r="N137" s="105"/>
      <c r="O137" s="105"/>
      <c r="P137" s="105"/>
    </row>
    <row r="138" spans="1:16" ht="15">
      <c r="A138" s="66"/>
      <c r="B138" s="66"/>
      <c r="C138" s="82"/>
      <c r="D138" s="82"/>
      <c r="E138" s="66"/>
      <c r="F138" s="66"/>
      <c r="G138" s="66"/>
      <c r="H138" s="66"/>
      <c r="I138" s="105"/>
      <c r="J138" s="105"/>
      <c r="K138" s="105"/>
      <c r="L138" s="105"/>
      <c r="M138" s="105"/>
      <c r="N138" s="105"/>
      <c r="O138" s="105"/>
      <c r="P138" s="105"/>
    </row>
    <row r="139" spans="1:16" ht="15">
      <c r="A139" s="66"/>
      <c r="B139" s="66"/>
      <c r="C139" s="66"/>
      <c r="D139" s="66"/>
      <c r="E139" s="66"/>
      <c r="F139" s="66"/>
      <c r="G139" s="66"/>
      <c r="H139" s="66"/>
      <c r="I139" s="105"/>
      <c r="J139" s="105"/>
      <c r="K139" s="105"/>
      <c r="L139" s="105"/>
      <c r="M139" s="105"/>
      <c r="N139" s="105"/>
      <c r="O139" s="105"/>
      <c r="P139" s="105"/>
    </row>
    <row r="140" spans="1:16" ht="15">
      <c r="A140" s="66"/>
      <c r="B140" s="66"/>
      <c r="C140" s="66"/>
      <c r="D140" s="66"/>
      <c r="E140" s="66"/>
      <c r="F140" s="66"/>
      <c r="G140" s="66"/>
      <c r="H140" s="66"/>
      <c r="I140" s="105"/>
      <c r="J140" s="105"/>
      <c r="K140" s="105"/>
      <c r="L140" s="105"/>
      <c r="M140" s="105"/>
      <c r="N140" s="105"/>
      <c r="O140" s="105"/>
      <c r="P140" s="105"/>
    </row>
    <row r="141" spans="1:16" ht="15">
      <c r="A141" s="66"/>
      <c r="B141" s="66"/>
      <c r="C141" s="82"/>
      <c r="D141" s="82"/>
      <c r="E141" s="66"/>
      <c r="F141" s="66"/>
      <c r="G141" s="66"/>
      <c r="H141" s="66"/>
      <c r="I141" s="105"/>
      <c r="J141" s="105"/>
      <c r="K141" s="105"/>
      <c r="L141" s="105"/>
      <c r="M141" s="105"/>
      <c r="N141" s="105"/>
      <c r="O141" s="105"/>
      <c r="P141" s="105"/>
    </row>
    <row r="142" spans="1:16" ht="15">
      <c r="A142" s="66"/>
      <c r="B142" s="66"/>
      <c r="C142" s="66"/>
      <c r="D142" s="66"/>
      <c r="E142" s="66"/>
      <c r="F142" s="66"/>
      <c r="G142" s="66"/>
      <c r="H142" s="66"/>
      <c r="I142" s="105"/>
      <c r="J142" s="105"/>
      <c r="K142" s="105"/>
      <c r="L142" s="105"/>
      <c r="M142" s="105"/>
      <c r="N142" s="105"/>
      <c r="O142" s="105"/>
      <c r="P142" s="105"/>
    </row>
    <row r="143" spans="1:16" ht="15">
      <c r="A143" s="66"/>
      <c r="B143" s="66"/>
      <c r="C143" s="66"/>
      <c r="D143" s="66"/>
      <c r="E143" s="66"/>
      <c r="F143" s="66"/>
      <c r="G143" s="66"/>
      <c r="H143" s="66"/>
      <c r="I143" s="105"/>
      <c r="J143" s="105"/>
      <c r="K143" s="105"/>
      <c r="L143" s="105"/>
      <c r="M143" s="105"/>
      <c r="N143" s="105"/>
      <c r="O143" s="105"/>
      <c r="P143" s="105"/>
    </row>
    <row r="144" spans="1:16" ht="15">
      <c r="A144" s="82"/>
      <c r="B144" s="82"/>
      <c r="C144" s="82"/>
      <c r="D144" s="82"/>
      <c r="E144" s="66"/>
      <c r="F144" s="66"/>
      <c r="G144" s="66"/>
      <c r="H144" s="66"/>
      <c r="I144" s="105"/>
      <c r="J144" s="105"/>
      <c r="K144" s="105"/>
      <c r="L144" s="105"/>
      <c r="M144" s="105"/>
      <c r="N144" s="105"/>
      <c r="O144" s="105"/>
      <c r="P144" s="105"/>
    </row>
    <row r="145" spans="1:16" ht="15">
      <c r="A145" s="67"/>
      <c r="B145" s="66"/>
      <c r="C145" s="66"/>
      <c r="D145" s="66"/>
      <c r="E145" s="66"/>
      <c r="F145" s="66"/>
      <c r="G145" s="66"/>
      <c r="H145" s="66"/>
      <c r="I145" s="105"/>
      <c r="J145" s="105"/>
      <c r="K145" s="105"/>
      <c r="L145" s="105"/>
      <c r="M145" s="105"/>
      <c r="N145" s="105"/>
      <c r="O145" s="105"/>
      <c r="P145" s="105"/>
    </row>
    <row r="146" spans="1:16" ht="15">
      <c r="A146" s="66"/>
      <c r="B146" s="66"/>
      <c r="C146" s="66"/>
      <c r="D146" s="66"/>
      <c r="E146" s="66"/>
      <c r="F146" s="66"/>
      <c r="G146" s="66"/>
      <c r="H146" s="66"/>
      <c r="I146" s="105"/>
      <c r="J146" s="105"/>
      <c r="K146" s="105"/>
      <c r="L146" s="105"/>
      <c r="M146" s="105"/>
      <c r="N146" s="105"/>
      <c r="O146" s="105"/>
      <c r="P146" s="105"/>
    </row>
    <row r="147" spans="1:16" ht="15">
      <c r="A147" s="66"/>
      <c r="B147" s="66"/>
      <c r="C147" s="66"/>
      <c r="D147" s="66"/>
      <c r="E147" s="66"/>
      <c r="F147" s="66"/>
      <c r="G147" s="66"/>
      <c r="H147" s="66"/>
      <c r="I147" s="105"/>
      <c r="J147" s="105"/>
      <c r="K147" s="105"/>
      <c r="L147" s="105"/>
      <c r="M147" s="105"/>
      <c r="N147" s="105"/>
      <c r="O147" s="105"/>
      <c r="P147" s="105"/>
    </row>
    <row r="148" spans="1:16" ht="15">
      <c r="A148" s="66"/>
      <c r="B148" s="66"/>
      <c r="C148" s="66"/>
      <c r="D148" s="66"/>
      <c r="E148" s="66"/>
      <c r="F148" s="66"/>
      <c r="G148" s="66"/>
      <c r="H148" s="66"/>
      <c r="I148" s="105"/>
      <c r="J148" s="105"/>
      <c r="K148" s="105"/>
      <c r="L148" s="105"/>
      <c r="M148" s="105"/>
      <c r="N148" s="105"/>
      <c r="O148" s="105"/>
      <c r="P148" s="105"/>
    </row>
    <row r="149" spans="1:16" ht="15">
      <c r="A149" s="66"/>
      <c r="B149" s="66"/>
      <c r="C149" s="66"/>
      <c r="D149" s="66"/>
      <c r="E149" s="66"/>
      <c r="F149" s="66"/>
      <c r="G149" s="66"/>
      <c r="H149" s="66"/>
      <c r="I149" s="105"/>
      <c r="J149" s="105"/>
      <c r="K149" s="105"/>
      <c r="L149" s="105"/>
      <c r="M149" s="105"/>
      <c r="N149" s="105"/>
      <c r="O149" s="105"/>
      <c r="P149" s="105"/>
    </row>
    <row r="150" spans="1:16" ht="15">
      <c r="A150" s="66"/>
      <c r="B150" s="66"/>
      <c r="C150" s="66"/>
      <c r="D150" s="66"/>
      <c r="E150" s="66"/>
      <c r="F150" s="66"/>
      <c r="G150" s="66"/>
      <c r="H150" s="66"/>
      <c r="I150" s="105"/>
      <c r="J150" s="105"/>
      <c r="K150" s="105"/>
      <c r="L150" s="105"/>
      <c r="M150" s="105"/>
      <c r="N150" s="105"/>
      <c r="O150" s="105"/>
      <c r="P150" s="105"/>
    </row>
    <row r="151" spans="1:16" ht="15">
      <c r="A151" s="66"/>
      <c r="B151" s="66"/>
      <c r="C151" s="66"/>
      <c r="D151" s="66"/>
      <c r="E151" s="66"/>
      <c r="F151" s="66"/>
      <c r="G151" s="66"/>
      <c r="H151" s="66"/>
      <c r="I151" s="105"/>
      <c r="J151" s="105"/>
      <c r="K151" s="105"/>
      <c r="L151" s="105"/>
      <c r="M151" s="105"/>
      <c r="N151" s="105"/>
      <c r="O151" s="105"/>
      <c r="P151" s="105"/>
    </row>
    <row r="152" spans="1:16" ht="15">
      <c r="A152" s="66"/>
      <c r="B152" s="66"/>
      <c r="C152" s="66"/>
      <c r="D152" s="66"/>
      <c r="E152" s="66"/>
      <c r="F152" s="66"/>
      <c r="G152" s="66"/>
      <c r="H152" s="66"/>
      <c r="I152" s="105"/>
      <c r="J152" s="105"/>
      <c r="K152" s="105"/>
      <c r="L152" s="105"/>
      <c r="M152" s="105"/>
      <c r="N152" s="105"/>
      <c r="O152" s="105"/>
      <c r="P152" s="105"/>
    </row>
    <row r="153" spans="1:16" ht="15">
      <c r="A153" s="66"/>
      <c r="B153" s="66"/>
      <c r="C153" s="66"/>
      <c r="D153" s="66"/>
      <c r="E153" s="66"/>
      <c r="F153" s="66"/>
      <c r="G153" s="66"/>
      <c r="H153" s="66"/>
      <c r="I153" s="105"/>
      <c r="J153" s="105"/>
      <c r="K153" s="105"/>
      <c r="L153" s="105"/>
      <c r="M153" s="105"/>
      <c r="N153" s="105"/>
      <c r="O153" s="105"/>
      <c r="P153" s="105"/>
    </row>
    <row r="154" spans="1:16" ht="15">
      <c r="A154" s="66"/>
      <c r="B154" s="66"/>
      <c r="C154" s="66"/>
      <c r="D154" s="66"/>
      <c r="E154" s="66"/>
      <c r="F154" s="66"/>
      <c r="G154" s="66"/>
      <c r="H154" s="66"/>
      <c r="I154" s="105"/>
      <c r="J154" s="105"/>
      <c r="K154" s="105"/>
      <c r="L154" s="105"/>
      <c r="M154" s="105"/>
      <c r="N154" s="105"/>
      <c r="O154" s="105"/>
      <c r="P154" s="105"/>
    </row>
    <row r="155" spans="1:16" ht="15">
      <c r="A155" s="66"/>
      <c r="B155" s="66"/>
      <c r="C155" s="66"/>
      <c r="D155" s="66"/>
      <c r="E155" s="66"/>
      <c r="F155" s="66"/>
      <c r="G155" s="66"/>
      <c r="H155" s="66"/>
      <c r="I155" s="105"/>
      <c r="J155" s="105"/>
      <c r="K155" s="105"/>
      <c r="L155" s="105"/>
      <c r="M155" s="105"/>
      <c r="N155" s="105"/>
      <c r="O155" s="105"/>
      <c r="P155" s="105"/>
    </row>
    <row r="156" spans="1:16" ht="15">
      <c r="A156" s="66"/>
      <c r="B156" s="66"/>
      <c r="C156" s="66"/>
      <c r="D156" s="66"/>
      <c r="E156" s="66"/>
      <c r="F156" s="66"/>
      <c r="G156" s="66"/>
      <c r="H156" s="66"/>
      <c r="I156" s="105"/>
      <c r="J156" s="105"/>
      <c r="K156" s="105"/>
      <c r="L156" s="105"/>
      <c r="M156" s="105"/>
      <c r="N156" s="105"/>
      <c r="O156" s="105"/>
      <c r="P156" s="105"/>
    </row>
    <row r="157" spans="1:16" ht="15">
      <c r="A157" s="66"/>
      <c r="B157" s="66"/>
      <c r="C157" s="66"/>
      <c r="D157" s="66"/>
      <c r="E157" s="66"/>
      <c r="F157" s="66"/>
      <c r="G157" s="66"/>
      <c r="H157" s="66"/>
      <c r="I157" s="105"/>
      <c r="J157" s="105"/>
      <c r="K157" s="105"/>
      <c r="L157" s="105"/>
      <c r="M157" s="105"/>
      <c r="N157" s="105"/>
      <c r="O157" s="105"/>
      <c r="P157" s="105"/>
    </row>
    <row r="158" spans="1:16" ht="15">
      <c r="A158" s="66"/>
      <c r="B158" s="66"/>
      <c r="C158" s="66"/>
      <c r="D158" s="66"/>
      <c r="E158" s="66"/>
      <c r="F158" s="66"/>
      <c r="G158" s="66"/>
      <c r="H158" s="66"/>
      <c r="I158" s="105"/>
      <c r="J158" s="105"/>
      <c r="K158" s="105"/>
      <c r="L158" s="105"/>
      <c r="M158" s="105"/>
      <c r="N158" s="105"/>
      <c r="O158" s="105"/>
      <c r="P158" s="105"/>
    </row>
    <row r="159" spans="1:16" ht="15">
      <c r="A159" s="66"/>
      <c r="B159" s="66"/>
      <c r="C159" s="66"/>
      <c r="D159" s="66"/>
      <c r="E159" s="66"/>
      <c r="F159" s="66"/>
      <c r="G159" s="66"/>
      <c r="H159" s="66"/>
      <c r="I159" s="105"/>
      <c r="J159" s="105"/>
      <c r="K159" s="105"/>
      <c r="L159" s="105"/>
      <c r="M159" s="105"/>
      <c r="N159" s="105"/>
      <c r="O159" s="105"/>
      <c r="P159" s="105"/>
    </row>
    <row r="160" spans="1:16" ht="15">
      <c r="A160" s="66"/>
      <c r="B160" s="66"/>
      <c r="C160" s="66"/>
      <c r="D160" s="66"/>
      <c r="E160" s="66"/>
      <c r="F160" s="66"/>
      <c r="G160" s="66"/>
      <c r="H160" s="66"/>
      <c r="I160" s="105"/>
      <c r="J160" s="105"/>
      <c r="K160" s="105"/>
      <c r="L160" s="105"/>
      <c r="M160" s="105"/>
      <c r="N160" s="105"/>
      <c r="O160" s="105"/>
      <c r="P160" s="105"/>
    </row>
    <row r="161" spans="1:16" ht="15">
      <c r="A161" s="66"/>
      <c r="B161" s="66"/>
      <c r="C161" s="82"/>
      <c r="D161" s="82"/>
      <c r="E161" s="66"/>
      <c r="F161" s="66"/>
      <c r="G161" s="66"/>
      <c r="H161" s="66"/>
      <c r="I161" s="105"/>
      <c r="J161" s="105"/>
      <c r="K161" s="105"/>
      <c r="L161" s="105"/>
      <c r="M161" s="105"/>
      <c r="N161" s="105"/>
      <c r="O161" s="105"/>
      <c r="P161" s="105"/>
    </row>
    <row r="162" spans="1:16" ht="15">
      <c r="A162" s="66"/>
      <c r="B162" s="66"/>
      <c r="C162" s="66"/>
      <c r="D162" s="66"/>
      <c r="E162" s="66"/>
      <c r="F162" s="66"/>
      <c r="G162" s="66"/>
      <c r="H162" s="66"/>
      <c r="I162" s="105"/>
      <c r="J162" s="105"/>
      <c r="K162" s="105"/>
      <c r="L162" s="105"/>
      <c r="M162" s="105"/>
      <c r="N162" s="105"/>
      <c r="O162" s="105"/>
      <c r="P162" s="105"/>
    </row>
    <row r="163" spans="1:16" ht="15">
      <c r="A163" s="66"/>
      <c r="B163" s="66"/>
      <c r="C163" s="66"/>
      <c r="D163" s="66"/>
      <c r="E163" s="66"/>
      <c r="F163" s="66"/>
      <c r="G163" s="66"/>
      <c r="H163" s="66"/>
      <c r="I163" s="105"/>
      <c r="J163" s="105"/>
      <c r="K163" s="105"/>
      <c r="L163" s="105"/>
      <c r="M163" s="105"/>
      <c r="N163" s="105"/>
      <c r="O163" s="105"/>
      <c r="P163" s="105"/>
    </row>
    <row r="164" spans="1:16" ht="15">
      <c r="A164" s="66"/>
      <c r="B164" s="66"/>
      <c r="C164" s="82"/>
      <c r="D164" s="82"/>
      <c r="E164" s="66"/>
      <c r="F164" s="66"/>
      <c r="G164" s="66"/>
      <c r="H164" s="66"/>
      <c r="I164" s="105"/>
      <c r="J164" s="105"/>
      <c r="K164" s="105"/>
      <c r="L164" s="105"/>
      <c r="M164" s="105"/>
      <c r="N164" s="105"/>
      <c r="O164" s="105"/>
      <c r="P164" s="105"/>
    </row>
    <row r="165" spans="1:16" ht="15">
      <c r="A165" s="66"/>
      <c r="B165" s="66"/>
      <c r="C165" s="66"/>
      <c r="D165" s="66"/>
      <c r="E165" s="66"/>
      <c r="F165" s="66"/>
      <c r="G165" s="66"/>
      <c r="H165" s="66"/>
      <c r="I165" s="105"/>
      <c r="J165" s="105"/>
      <c r="K165" s="105"/>
      <c r="L165" s="105"/>
      <c r="M165" s="105"/>
      <c r="N165" s="105"/>
      <c r="O165" s="105"/>
      <c r="P165" s="105"/>
    </row>
    <row r="166" spans="1:16" ht="15">
      <c r="A166" s="66"/>
      <c r="B166" s="66"/>
      <c r="C166" s="66"/>
      <c r="D166" s="66"/>
      <c r="E166" s="66"/>
      <c r="F166" s="66"/>
      <c r="G166" s="66"/>
      <c r="H166" s="66"/>
      <c r="I166" s="105"/>
      <c r="J166" s="105"/>
      <c r="K166" s="105"/>
      <c r="L166" s="105"/>
      <c r="M166" s="105"/>
      <c r="N166" s="105"/>
      <c r="O166" s="105"/>
      <c r="P166" s="105"/>
    </row>
    <row r="167" spans="1:16" ht="15">
      <c r="A167" s="82"/>
      <c r="B167" s="82"/>
      <c r="C167" s="82"/>
      <c r="D167" s="82"/>
      <c r="E167" s="66"/>
      <c r="F167" s="66"/>
      <c r="G167" s="66"/>
      <c r="H167" s="66"/>
      <c r="I167" s="105"/>
      <c r="J167" s="105"/>
      <c r="K167" s="105"/>
      <c r="L167" s="105"/>
      <c r="M167" s="105"/>
      <c r="N167" s="105"/>
      <c r="O167" s="105"/>
      <c r="P167" s="105"/>
    </row>
    <row r="168" spans="1:16" ht="15">
      <c r="A168" s="67"/>
      <c r="B168" s="66"/>
      <c r="C168" s="66"/>
      <c r="D168" s="66"/>
      <c r="E168" s="66"/>
      <c r="F168" s="66"/>
      <c r="G168" s="66"/>
      <c r="H168" s="66"/>
      <c r="I168" s="105"/>
      <c r="J168" s="105"/>
      <c r="K168" s="105"/>
      <c r="L168" s="105"/>
      <c r="M168" s="105"/>
      <c r="N168" s="105"/>
      <c r="O168" s="105"/>
      <c r="P168" s="105"/>
    </row>
    <row r="169" spans="1:16" ht="15">
      <c r="A169" s="66"/>
      <c r="B169" s="66"/>
      <c r="C169" s="66"/>
      <c r="D169" s="66"/>
      <c r="E169" s="66"/>
      <c r="F169" s="66"/>
      <c r="G169" s="66"/>
      <c r="H169" s="66"/>
      <c r="I169" s="105"/>
      <c r="J169" s="105"/>
      <c r="K169" s="105"/>
      <c r="L169" s="105"/>
      <c r="M169" s="105"/>
      <c r="N169" s="105"/>
      <c r="O169" s="105"/>
      <c r="P169" s="105"/>
    </row>
    <row r="170" spans="1:16" ht="15">
      <c r="A170" s="66"/>
      <c r="B170" s="66"/>
      <c r="C170" s="66"/>
      <c r="D170" s="66"/>
      <c r="E170" s="66"/>
      <c r="F170" s="66"/>
      <c r="G170" s="66"/>
      <c r="H170" s="66"/>
      <c r="I170" s="105"/>
      <c r="J170" s="105"/>
      <c r="K170" s="105"/>
      <c r="L170" s="105"/>
      <c r="M170" s="105"/>
      <c r="N170" s="105"/>
      <c r="O170" s="105"/>
      <c r="P170" s="105"/>
    </row>
    <row r="171" spans="1:16" ht="15">
      <c r="A171" s="66"/>
      <c r="B171" s="66"/>
      <c r="C171" s="66"/>
      <c r="D171" s="66"/>
      <c r="E171" s="66"/>
      <c r="F171" s="66"/>
      <c r="G171" s="66"/>
      <c r="H171" s="66"/>
      <c r="I171" s="105"/>
      <c r="J171" s="105"/>
      <c r="K171" s="105"/>
      <c r="L171" s="105"/>
      <c r="M171" s="105"/>
      <c r="N171" s="105"/>
      <c r="O171" s="105"/>
      <c r="P171" s="105"/>
    </row>
    <row r="172" spans="1:16" ht="15">
      <c r="A172" s="66"/>
      <c r="B172" s="66"/>
      <c r="C172" s="66"/>
      <c r="D172" s="66"/>
      <c r="E172" s="66"/>
      <c r="F172" s="66"/>
      <c r="G172" s="66"/>
      <c r="H172" s="66"/>
      <c r="I172" s="105"/>
      <c r="J172" s="105"/>
      <c r="K172" s="105"/>
      <c r="L172" s="105"/>
      <c r="M172" s="105"/>
      <c r="N172" s="105"/>
      <c r="O172" s="105"/>
      <c r="P172" s="105"/>
    </row>
    <row r="173" spans="1:16" ht="15">
      <c r="A173" s="66"/>
      <c r="B173" s="66"/>
      <c r="C173" s="66"/>
      <c r="D173" s="66"/>
      <c r="E173" s="66"/>
      <c r="F173" s="66"/>
      <c r="G173" s="66"/>
      <c r="H173" s="66"/>
      <c r="I173" s="105"/>
      <c r="J173" s="105"/>
      <c r="K173" s="105"/>
      <c r="L173" s="105"/>
      <c r="M173" s="105"/>
      <c r="N173" s="105"/>
      <c r="O173" s="105"/>
      <c r="P173" s="105"/>
    </row>
    <row r="174" spans="1:16" ht="15">
      <c r="A174" s="66"/>
      <c r="B174" s="66"/>
      <c r="C174" s="66"/>
      <c r="D174" s="66"/>
      <c r="E174" s="66"/>
      <c r="F174" s="66"/>
      <c r="G174" s="66"/>
      <c r="H174" s="66"/>
      <c r="I174" s="105"/>
      <c r="J174" s="105"/>
      <c r="K174" s="105"/>
      <c r="L174" s="105"/>
      <c r="M174" s="105"/>
      <c r="N174" s="105"/>
      <c r="O174" s="105"/>
      <c r="P174" s="105"/>
    </row>
    <row r="175" spans="1:16" ht="15">
      <c r="A175" s="66"/>
      <c r="B175" s="66"/>
      <c r="C175" s="66"/>
      <c r="D175" s="66"/>
      <c r="E175" s="66"/>
      <c r="F175" s="66"/>
      <c r="G175" s="66"/>
      <c r="H175" s="66"/>
      <c r="I175" s="105"/>
      <c r="J175" s="105"/>
      <c r="K175" s="105"/>
      <c r="L175" s="105"/>
      <c r="M175" s="105"/>
      <c r="N175" s="105"/>
      <c r="O175" s="105"/>
      <c r="P175" s="105"/>
    </row>
    <row r="176" spans="1:16" ht="15">
      <c r="A176" s="66"/>
      <c r="B176" s="66"/>
      <c r="C176" s="66"/>
      <c r="D176" s="66"/>
      <c r="E176" s="66"/>
      <c r="F176" s="66"/>
      <c r="G176" s="66"/>
      <c r="H176" s="66"/>
      <c r="I176" s="105"/>
      <c r="J176" s="105"/>
      <c r="K176" s="105"/>
      <c r="L176" s="105"/>
      <c r="M176" s="105"/>
      <c r="N176" s="105"/>
      <c r="O176" s="105"/>
      <c r="P176" s="105"/>
    </row>
    <row r="177" spans="1:16" ht="15">
      <c r="A177" s="66"/>
      <c r="B177" s="66"/>
      <c r="C177" s="66"/>
      <c r="D177" s="66"/>
      <c r="E177" s="66"/>
      <c r="F177" s="66"/>
      <c r="G177" s="66"/>
      <c r="H177" s="66"/>
      <c r="I177" s="105"/>
      <c r="J177" s="105"/>
      <c r="K177" s="105"/>
      <c r="L177" s="105"/>
      <c r="M177" s="105"/>
      <c r="N177" s="105"/>
      <c r="O177" s="105"/>
      <c r="P177" s="105"/>
    </row>
    <row r="178" spans="1:16" ht="15">
      <c r="A178" s="66"/>
      <c r="B178" s="66"/>
      <c r="C178" s="66"/>
      <c r="D178" s="66"/>
      <c r="E178" s="66"/>
      <c r="F178" s="66"/>
      <c r="G178" s="66"/>
      <c r="H178" s="66"/>
      <c r="I178" s="105"/>
      <c r="J178" s="105"/>
      <c r="K178" s="105"/>
      <c r="L178" s="105"/>
      <c r="M178" s="105"/>
      <c r="N178" s="105"/>
      <c r="O178" s="105"/>
      <c r="P178" s="105"/>
    </row>
    <row r="179" spans="1:16" ht="15">
      <c r="A179" s="66"/>
      <c r="B179" s="66"/>
      <c r="C179" s="66"/>
      <c r="D179" s="66"/>
      <c r="E179" s="66"/>
      <c r="F179" s="66"/>
      <c r="G179" s="66"/>
      <c r="H179" s="66"/>
      <c r="I179" s="105"/>
      <c r="J179" s="105"/>
      <c r="K179" s="105"/>
      <c r="L179" s="105"/>
      <c r="M179" s="105"/>
      <c r="N179" s="105"/>
      <c r="O179" s="105"/>
      <c r="P179" s="105"/>
    </row>
    <row r="180" spans="1:16" ht="15">
      <c r="A180" s="66"/>
      <c r="B180" s="66"/>
      <c r="C180" s="66"/>
      <c r="D180" s="66"/>
      <c r="E180" s="66"/>
      <c r="F180" s="66"/>
      <c r="G180" s="66"/>
      <c r="H180" s="66"/>
      <c r="I180" s="105"/>
      <c r="J180" s="105"/>
      <c r="K180" s="105"/>
      <c r="L180" s="105"/>
      <c r="M180" s="105"/>
      <c r="N180" s="105"/>
      <c r="O180" s="105"/>
      <c r="P180" s="105"/>
    </row>
    <row r="181" spans="1:16" ht="15">
      <c r="A181" s="66"/>
      <c r="B181" s="66"/>
      <c r="C181" s="66"/>
      <c r="D181" s="66"/>
      <c r="E181" s="66"/>
      <c r="F181" s="66"/>
      <c r="G181" s="66"/>
      <c r="H181" s="66"/>
      <c r="I181" s="105"/>
      <c r="J181" s="105"/>
      <c r="K181" s="105"/>
      <c r="L181" s="105"/>
      <c r="M181" s="105"/>
      <c r="N181" s="105"/>
      <c r="O181" s="105"/>
      <c r="P181" s="105"/>
    </row>
    <row r="182" spans="1:16" ht="15">
      <c r="A182" s="66"/>
      <c r="B182" s="66"/>
      <c r="C182" s="66"/>
      <c r="D182" s="66"/>
      <c r="E182" s="66"/>
      <c r="F182" s="66"/>
      <c r="G182" s="66"/>
      <c r="H182" s="66"/>
      <c r="I182" s="105"/>
      <c r="J182" s="105"/>
      <c r="K182" s="105"/>
      <c r="L182" s="105"/>
      <c r="M182" s="105"/>
      <c r="N182" s="105"/>
      <c r="O182" s="105"/>
      <c r="P182" s="105"/>
    </row>
    <row r="183" spans="1:16" ht="15">
      <c r="A183" s="66"/>
      <c r="B183" s="66"/>
      <c r="C183" s="66"/>
      <c r="D183" s="66"/>
      <c r="E183" s="66"/>
      <c r="F183" s="66"/>
      <c r="G183" s="66"/>
      <c r="H183" s="66"/>
      <c r="I183" s="105"/>
      <c r="J183" s="105"/>
      <c r="K183" s="105"/>
      <c r="L183" s="105"/>
      <c r="M183" s="105"/>
      <c r="N183" s="105"/>
      <c r="O183" s="105"/>
      <c r="P183" s="105"/>
    </row>
    <row r="184" spans="1:16" ht="15">
      <c r="A184" s="66"/>
      <c r="B184" s="66"/>
      <c r="C184" s="82"/>
      <c r="D184" s="82"/>
      <c r="E184" s="66"/>
      <c r="F184" s="66"/>
      <c r="G184" s="66"/>
      <c r="H184" s="66"/>
      <c r="I184" s="105"/>
      <c r="J184" s="105"/>
      <c r="K184" s="105"/>
      <c r="L184" s="105"/>
      <c r="M184" s="105"/>
      <c r="N184" s="105"/>
      <c r="O184" s="105"/>
      <c r="P184" s="105"/>
    </row>
    <row r="185" spans="1:16" ht="15">
      <c r="A185" s="66"/>
      <c r="B185" s="66"/>
      <c r="C185" s="66"/>
      <c r="D185" s="66"/>
      <c r="E185" s="66"/>
      <c r="F185" s="66"/>
      <c r="G185" s="66"/>
      <c r="H185" s="66"/>
      <c r="I185" s="105"/>
      <c r="J185" s="105"/>
      <c r="K185" s="105"/>
      <c r="L185" s="105"/>
      <c r="M185" s="105"/>
      <c r="N185" s="105"/>
      <c r="O185" s="105"/>
      <c r="P185" s="105"/>
    </row>
    <row r="186" spans="1:16" ht="15">
      <c r="A186" s="66"/>
      <c r="B186" s="66"/>
      <c r="C186" s="66"/>
      <c r="D186" s="66"/>
      <c r="E186" s="66"/>
      <c r="F186" s="66"/>
      <c r="G186" s="66"/>
      <c r="H186" s="66"/>
      <c r="I186" s="105"/>
      <c r="J186" s="105"/>
      <c r="K186" s="105"/>
      <c r="L186" s="105"/>
      <c r="M186" s="105"/>
      <c r="N186" s="105"/>
      <c r="O186" s="105"/>
      <c r="P186" s="105"/>
    </row>
    <row r="187" spans="1:16" ht="15">
      <c r="A187" s="66"/>
      <c r="B187" s="66"/>
      <c r="C187" s="82"/>
      <c r="D187" s="82"/>
      <c r="E187" s="66"/>
      <c r="F187" s="66"/>
      <c r="G187" s="66"/>
      <c r="H187" s="66"/>
      <c r="I187" s="105"/>
      <c r="J187" s="105"/>
      <c r="K187" s="105"/>
      <c r="L187" s="105"/>
      <c r="M187" s="105"/>
      <c r="N187" s="105"/>
      <c r="O187" s="105"/>
      <c r="P187" s="105"/>
    </row>
    <row r="188" spans="1:16" ht="15">
      <c r="A188" s="66"/>
      <c r="B188" s="66"/>
      <c r="C188" s="66"/>
      <c r="D188" s="66"/>
      <c r="E188" s="66"/>
      <c r="F188" s="66"/>
      <c r="G188" s="66"/>
      <c r="H188" s="66"/>
      <c r="I188" s="105"/>
      <c r="J188" s="105"/>
      <c r="K188" s="105"/>
      <c r="L188" s="105"/>
      <c r="M188" s="105"/>
      <c r="N188" s="105"/>
      <c r="O188" s="105"/>
      <c r="P188" s="105"/>
    </row>
    <row r="189" spans="1:16" ht="15">
      <c r="A189" s="66"/>
      <c r="B189" s="66"/>
      <c r="C189" s="66"/>
      <c r="D189" s="66"/>
      <c r="E189" s="66"/>
      <c r="F189" s="66"/>
      <c r="G189" s="66"/>
      <c r="H189" s="66"/>
      <c r="I189" s="105"/>
      <c r="J189" s="105"/>
      <c r="K189" s="105"/>
      <c r="L189" s="105"/>
      <c r="M189" s="105"/>
      <c r="N189" s="105"/>
      <c r="O189" s="105"/>
      <c r="P189" s="105"/>
    </row>
    <row r="190" spans="1:16" ht="15">
      <c r="A190" s="82"/>
      <c r="B190" s="82"/>
      <c r="C190" s="82"/>
      <c r="D190" s="82"/>
      <c r="E190" s="66"/>
      <c r="F190" s="66"/>
      <c r="G190" s="66"/>
      <c r="H190" s="66"/>
      <c r="I190" s="105"/>
      <c r="J190" s="105"/>
      <c r="K190" s="105"/>
      <c r="L190" s="105"/>
      <c r="M190" s="105"/>
      <c r="N190" s="105"/>
      <c r="O190" s="105"/>
      <c r="P190" s="105"/>
    </row>
    <row r="191" spans="1:16" ht="15">
      <c r="A191" s="67"/>
      <c r="B191" s="66"/>
      <c r="C191" s="66"/>
      <c r="D191" s="66"/>
      <c r="E191" s="66"/>
      <c r="F191" s="66"/>
      <c r="G191" s="66"/>
      <c r="H191" s="66"/>
      <c r="I191" s="105"/>
      <c r="J191" s="105"/>
      <c r="K191" s="105"/>
      <c r="L191" s="105"/>
      <c r="M191" s="105"/>
      <c r="N191" s="105"/>
      <c r="O191" s="105"/>
      <c r="P191" s="105"/>
    </row>
    <row r="192" spans="1:16" ht="15">
      <c r="A192" s="66"/>
      <c r="B192" s="66"/>
      <c r="C192" s="66"/>
      <c r="D192" s="66"/>
      <c r="E192" s="66"/>
      <c r="F192" s="66"/>
      <c r="G192" s="66"/>
      <c r="H192" s="66"/>
      <c r="I192" s="105"/>
      <c r="J192" s="105"/>
      <c r="K192" s="105"/>
      <c r="L192" s="105"/>
      <c r="M192" s="105"/>
      <c r="N192" s="105"/>
      <c r="O192" s="105"/>
      <c r="P192" s="105"/>
    </row>
    <row r="193" spans="1:16" ht="15">
      <c r="A193" s="66"/>
      <c r="B193" s="66"/>
      <c r="C193" s="66"/>
      <c r="D193" s="66"/>
      <c r="E193" s="66"/>
      <c r="F193" s="66"/>
      <c r="G193" s="66"/>
      <c r="H193" s="66"/>
      <c r="I193" s="105"/>
      <c r="J193" s="105"/>
      <c r="K193" s="105"/>
      <c r="L193" s="105"/>
      <c r="M193" s="105"/>
      <c r="N193" s="105"/>
      <c r="O193" s="105"/>
      <c r="P193" s="105"/>
    </row>
    <row r="194" spans="1:16" ht="15">
      <c r="A194" s="66"/>
      <c r="B194" s="66"/>
      <c r="C194" s="66"/>
      <c r="D194" s="66"/>
      <c r="E194" s="66"/>
      <c r="F194" s="66"/>
      <c r="G194" s="66"/>
      <c r="H194" s="66"/>
      <c r="I194" s="105"/>
      <c r="J194" s="105"/>
      <c r="K194" s="105"/>
      <c r="L194" s="105"/>
      <c r="M194" s="105"/>
      <c r="N194" s="105"/>
      <c r="O194" s="105"/>
      <c r="P194" s="105"/>
    </row>
    <row r="195" spans="1:16" ht="15">
      <c r="A195" s="66"/>
      <c r="B195" s="66"/>
      <c r="C195" s="66"/>
      <c r="D195" s="66"/>
      <c r="E195" s="66"/>
      <c r="F195" s="66"/>
      <c r="G195" s="66"/>
      <c r="H195" s="66"/>
      <c r="I195" s="105"/>
      <c r="J195" s="105"/>
      <c r="K195" s="105"/>
      <c r="L195" s="105"/>
      <c r="M195" s="105"/>
      <c r="N195" s="105"/>
      <c r="O195" s="105"/>
      <c r="P195" s="105"/>
    </row>
    <row r="196" spans="1:16" ht="15">
      <c r="A196" s="66"/>
      <c r="B196" s="66"/>
      <c r="C196" s="66"/>
      <c r="D196" s="66"/>
      <c r="E196" s="66"/>
      <c r="F196" s="66"/>
      <c r="G196" s="66"/>
      <c r="H196" s="66"/>
      <c r="I196" s="105"/>
      <c r="J196" s="105"/>
      <c r="K196" s="105"/>
      <c r="L196" s="105"/>
      <c r="M196" s="105"/>
      <c r="N196" s="105"/>
      <c r="O196" s="105"/>
      <c r="P196" s="105"/>
    </row>
    <row r="197" spans="1:16" ht="15">
      <c r="A197" s="66"/>
      <c r="B197" s="66"/>
      <c r="C197" s="66"/>
      <c r="D197" s="66"/>
      <c r="E197" s="66"/>
      <c r="F197" s="66"/>
      <c r="G197" s="66"/>
      <c r="H197" s="66"/>
      <c r="I197" s="105"/>
      <c r="J197" s="105"/>
      <c r="K197" s="105"/>
      <c r="L197" s="105"/>
      <c r="M197" s="105"/>
      <c r="N197" s="105"/>
      <c r="O197" s="105"/>
      <c r="P197" s="105"/>
    </row>
    <row r="198" spans="1:16" ht="15">
      <c r="A198" s="66"/>
      <c r="B198" s="66"/>
      <c r="C198" s="66"/>
      <c r="D198" s="66"/>
      <c r="E198" s="66"/>
      <c r="F198" s="66"/>
      <c r="G198" s="66"/>
      <c r="H198" s="66"/>
      <c r="I198" s="105"/>
      <c r="J198" s="105"/>
      <c r="K198" s="105"/>
      <c r="L198" s="105"/>
      <c r="M198" s="105"/>
      <c r="N198" s="105"/>
      <c r="O198" s="105"/>
      <c r="P198" s="105"/>
    </row>
    <row r="199" spans="1:16" ht="15">
      <c r="A199" s="66"/>
      <c r="B199" s="66"/>
      <c r="C199" s="66"/>
      <c r="D199" s="66"/>
      <c r="E199" s="66"/>
      <c r="F199" s="66"/>
      <c r="G199" s="66"/>
      <c r="H199" s="66"/>
      <c r="I199" s="105"/>
      <c r="J199" s="105"/>
      <c r="K199" s="105"/>
      <c r="L199" s="105"/>
      <c r="M199" s="105"/>
      <c r="N199" s="105"/>
      <c r="O199" s="105"/>
      <c r="P199" s="105"/>
    </row>
    <row r="200" spans="1:16" ht="15">
      <c r="A200" s="66"/>
      <c r="B200" s="66"/>
      <c r="C200" s="66"/>
      <c r="D200" s="66"/>
      <c r="E200" s="66"/>
      <c r="F200" s="66"/>
      <c r="G200" s="66"/>
      <c r="H200" s="66"/>
      <c r="I200" s="105"/>
      <c r="J200" s="105"/>
      <c r="K200" s="105"/>
      <c r="L200" s="105"/>
      <c r="M200" s="105"/>
      <c r="N200" s="105"/>
      <c r="O200" s="105"/>
      <c r="P200" s="105"/>
    </row>
    <row r="201" spans="1:16" ht="15">
      <c r="A201" s="66"/>
      <c r="B201" s="66"/>
      <c r="C201" s="66"/>
      <c r="D201" s="66"/>
      <c r="E201" s="66"/>
      <c r="F201" s="66"/>
      <c r="G201" s="66"/>
      <c r="H201" s="66"/>
      <c r="I201" s="105"/>
      <c r="J201" s="105"/>
      <c r="K201" s="105"/>
      <c r="L201" s="105"/>
      <c r="M201" s="105"/>
      <c r="N201" s="105"/>
      <c r="O201" s="105"/>
      <c r="P201" s="105"/>
    </row>
    <row r="202" spans="1:16" ht="15">
      <c r="A202" s="66"/>
      <c r="B202" s="66"/>
      <c r="C202" s="66"/>
      <c r="D202" s="66"/>
      <c r="E202" s="66"/>
      <c r="F202" s="66"/>
      <c r="G202" s="66"/>
      <c r="H202" s="66"/>
      <c r="I202" s="105"/>
      <c r="J202" s="105"/>
      <c r="K202" s="105"/>
      <c r="L202" s="105"/>
      <c r="M202" s="105"/>
      <c r="N202" s="105"/>
      <c r="O202" s="105"/>
      <c r="P202" s="105"/>
    </row>
    <row r="203" spans="1:16" ht="15">
      <c r="A203" s="66"/>
      <c r="B203" s="66"/>
      <c r="C203" s="66"/>
      <c r="D203" s="66"/>
      <c r="E203" s="66"/>
      <c r="F203" s="66"/>
      <c r="G203" s="66"/>
      <c r="H203" s="66"/>
      <c r="I203" s="105"/>
      <c r="J203" s="105"/>
      <c r="K203" s="105"/>
      <c r="L203" s="105"/>
      <c r="M203" s="105"/>
      <c r="N203" s="105"/>
      <c r="O203" s="105"/>
      <c r="P203" s="105"/>
    </row>
    <row r="204" spans="1:16" ht="15">
      <c r="A204" s="66"/>
      <c r="B204" s="66"/>
      <c r="C204" s="66"/>
      <c r="D204" s="66"/>
      <c r="E204" s="66"/>
      <c r="F204" s="66"/>
      <c r="G204" s="66"/>
      <c r="H204" s="66"/>
      <c r="I204" s="105"/>
      <c r="J204" s="105"/>
      <c r="K204" s="105"/>
      <c r="L204" s="105"/>
      <c r="M204" s="105"/>
      <c r="N204" s="105"/>
      <c r="O204" s="105"/>
      <c r="P204" s="105"/>
    </row>
    <row r="205" spans="1:16" ht="15">
      <c r="A205" s="66"/>
      <c r="B205" s="66"/>
      <c r="C205" s="66"/>
      <c r="D205" s="66"/>
      <c r="E205" s="66"/>
      <c r="F205" s="66"/>
      <c r="G205" s="66"/>
      <c r="H205" s="66"/>
      <c r="I205" s="105"/>
      <c r="J205" s="105"/>
      <c r="K205" s="105"/>
      <c r="L205" s="105"/>
      <c r="M205" s="105"/>
      <c r="N205" s="105"/>
      <c r="O205" s="105"/>
      <c r="P205" s="105"/>
    </row>
    <row r="206" spans="1:16" ht="15">
      <c r="A206" s="66"/>
      <c r="B206" s="66"/>
      <c r="C206" s="66"/>
      <c r="D206" s="66"/>
      <c r="E206" s="66"/>
      <c r="F206" s="66"/>
      <c r="G206" s="66"/>
      <c r="H206" s="66"/>
      <c r="I206" s="105"/>
      <c r="J206" s="105"/>
      <c r="K206" s="105"/>
      <c r="L206" s="105"/>
      <c r="M206" s="105"/>
      <c r="N206" s="105"/>
      <c r="O206" s="105"/>
      <c r="P206" s="105"/>
    </row>
    <row r="207" spans="8:16" ht="15">
      <c r="H207" s="105"/>
      <c r="I207" s="105"/>
      <c r="J207" s="105"/>
      <c r="K207" s="105"/>
      <c r="L207" s="105"/>
      <c r="M207" s="105"/>
      <c r="N207" s="105"/>
      <c r="O207" s="105"/>
      <c r="P207" s="105"/>
    </row>
    <row r="208" spans="8:16" ht="15">
      <c r="H208" s="105"/>
      <c r="I208" s="105"/>
      <c r="J208" s="105"/>
      <c r="K208" s="105"/>
      <c r="L208" s="105"/>
      <c r="M208" s="105"/>
      <c r="N208" s="105"/>
      <c r="O208" s="105"/>
      <c r="P208" s="105"/>
    </row>
    <row r="209" spans="8:16" ht="15">
      <c r="H209" s="105"/>
      <c r="I209" s="105"/>
      <c r="J209" s="105"/>
      <c r="K209" s="105"/>
      <c r="L209" s="105"/>
      <c r="M209" s="105"/>
      <c r="N209" s="105"/>
      <c r="O209" s="105"/>
      <c r="P209" s="105"/>
    </row>
    <row r="210" spans="8:16" ht="15">
      <c r="H210" s="105"/>
      <c r="I210" s="105"/>
      <c r="J210" s="105"/>
      <c r="K210" s="105"/>
      <c r="L210" s="105"/>
      <c r="M210" s="105"/>
      <c r="N210" s="105"/>
      <c r="O210" s="105"/>
      <c r="P210" s="105"/>
    </row>
    <row r="211" spans="8:16" ht="15">
      <c r="H211" s="105"/>
      <c r="I211" s="105"/>
      <c r="J211" s="105"/>
      <c r="K211" s="105"/>
      <c r="L211" s="105"/>
      <c r="M211" s="105"/>
      <c r="N211" s="105"/>
      <c r="O211" s="105"/>
      <c r="P211" s="105"/>
    </row>
    <row r="212" spans="8:16" ht="15">
      <c r="H212" s="105"/>
      <c r="I212" s="105"/>
      <c r="J212" s="105"/>
      <c r="K212" s="105"/>
      <c r="L212" s="105"/>
      <c r="M212" s="105"/>
      <c r="N212" s="105"/>
      <c r="O212" s="105"/>
      <c r="P212" s="105"/>
    </row>
    <row r="213" spans="8:16" ht="15">
      <c r="H213" s="105"/>
      <c r="I213" s="105"/>
      <c r="J213" s="105"/>
      <c r="K213" s="105"/>
      <c r="L213" s="105"/>
      <c r="M213" s="105"/>
      <c r="N213" s="105"/>
      <c r="O213" s="105"/>
      <c r="P213" s="105"/>
    </row>
    <row r="214" spans="8:16" ht="15">
      <c r="H214" s="105"/>
      <c r="I214" s="105"/>
      <c r="J214" s="105"/>
      <c r="K214" s="105"/>
      <c r="L214" s="105"/>
      <c r="M214" s="105"/>
      <c r="N214" s="105"/>
      <c r="O214" s="105"/>
      <c r="P214" s="105"/>
    </row>
    <row r="215" spans="8:16" ht="15">
      <c r="H215" s="105"/>
      <c r="I215" s="105"/>
      <c r="J215" s="105"/>
      <c r="K215" s="105"/>
      <c r="L215" s="105"/>
      <c r="M215" s="105"/>
      <c r="N215" s="105"/>
      <c r="O215" s="105"/>
      <c r="P215" s="105"/>
    </row>
    <row r="216" spans="8:16" ht="15">
      <c r="H216" s="105"/>
      <c r="I216" s="105"/>
      <c r="J216" s="105"/>
      <c r="K216" s="105"/>
      <c r="L216" s="105"/>
      <c r="M216" s="105"/>
      <c r="N216" s="105"/>
      <c r="O216" s="105"/>
      <c r="P216" s="105"/>
    </row>
    <row r="217" spans="8:16" ht="15">
      <c r="H217" s="105"/>
      <c r="I217" s="105"/>
      <c r="J217" s="105"/>
      <c r="K217" s="105"/>
      <c r="L217" s="105"/>
      <c r="M217" s="105"/>
      <c r="N217" s="105"/>
      <c r="O217" s="105"/>
      <c r="P217" s="105"/>
    </row>
    <row r="218" spans="8:16" ht="15">
      <c r="H218" s="105"/>
      <c r="I218" s="105"/>
      <c r="J218" s="105"/>
      <c r="K218" s="105"/>
      <c r="L218" s="105"/>
      <c r="M218" s="105"/>
      <c r="N218" s="105"/>
      <c r="O218" s="105"/>
      <c r="P218" s="105"/>
    </row>
    <row r="219" spans="8:16" ht="15">
      <c r="H219" s="105"/>
      <c r="I219" s="105"/>
      <c r="J219" s="105"/>
      <c r="K219" s="105"/>
      <c r="L219" s="105"/>
      <c r="M219" s="105"/>
      <c r="N219" s="105"/>
      <c r="O219" s="105"/>
      <c r="P219" s="105"/>
    </row>
    <row r="220" spans="8:16" ht="15">
      <c r="H220" s="105"/>
      <c r="I220" s="105"/>
      <c r="J220" s="105"/>
      <c r="K220" s="105"/>
      <c r="L220" s="105"/>
      <c r="M220" s="105"/>
      <c r="N220" s="105"/>
      <c r="O220" s="105"/>
      <c r="P220" s="105"/>
    </row>
    <row r="221" spans="8:16" ht="15">
      <c r="H221" s="105"/>
      <c r="I221" s="105"/>
      <c r="J221" s="105"/>
      <c r="K221" s="105"/>
      <c r="L221" s="105"/>
      <c r="M221" s="105"/>
      <c r="N221" s="105"/>
      <c r="O221" s="105"/>
      <c r="P221" s="105"/>
    </row>
    <row r="222" spans="8:16" ht="15">
      <c r="H222" s="105"/>
      <c r="I222" s="105"/>
      <c r="J222" s="105"/>
      <c r="K222" s="105"/>
      <c r="L222" s="105"/>
      <c r="M222" s="105"/>
      <c r="N222" s="105"/>
      <c r="O222" s="105"/>
      <c r="P222" s="105"/>
    </row>
    <row r="223" spans="8:16" ht="15">
      <c r="H223" s="105"/>
      <c r="I223" s="105"/>
      <c r="J223" s="105"/>
      <c r="K223" s="105"/>
      <c r="L223" s="105"/>
      <c r="M223" s="105"/>
      <c r="N223" s="105"/>
      <c r="O223" s="105"/>
      <c r="P223" s="105"/>
    </row>
    <row r="224" spans="8:16" ht="15">
      <c r="H224" s="105"/>
      <c r="I224" s="105"/>
      <c r="J224" s="105"/>
      <c r="K224" s="105"/>
      <c r="L224" s="105"/>
      <c r="M224" s="105"/>
      <c r="N224" s="105"/>
      <c r="O224" s="105"/>
      <c r="P224" s="105"/>
    </row>
    <row r="225" spans="8:16" ht="15">
      <c r="H225" s="105"/>
      <c r="I225" s="105"/>
      <c r="J225" s="105"/>
      <c r="K225" s="105"/>
      <c r="L225" s="105"/>
      <c r="M225" s="105"/>
      <c r="N225" s="105"/>
      <c r="O225" s="105"/>
      <c r="P225" s="105"/>
    </row>
    <row r="226" spans="8:16" ht="15">
      <c r="H226" s="105"/>
      <c r="I226" s="105"/>
      <c r="J226" s="105"/>
      <c r="K226" s="105"/>
      <c r="L226" s="105"/>
      <c r="M226" s="105"/>
      <c r="N226" s="105"/>
      <c r="O226" s="105"/>
      <c r="P226" s="105"/>
    </row>
    <row r="227" spans="8:16" ht="15">
      <c r="H227" s="105"/>
      <c r="I227" s="105"/>
      <c r="J227" s="105"/>
      <c r="K227" s="105"/>
      <c r="L227" s="105"/>
      <c r="M227" s="105"/>
      <c r="N227" s="105"/>
      <c r="O227" s="105"/>
      <c r="P227" s="105"/>
    </row>
  </sheetData>
  <sheetProtection/>
  <mergeCells count="2">
    <mergeCell ref="A7:G7"/>
    <mergeCell ref="A10:G10"/>
  </mergeCells>
  <printOptions gridLines="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A1">
      <selection activeCell="G291" sqref="G291"/>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customWidth="1"/>
    <col min="8" max="8" width="11.421875" style="0" customWidth="1"/>
    <col min="9" max="9" width="21.421875" style="0" customWidth="1"/>
    <col min="10" max="10" width="13.140625" style="0" bestFit="1" customWidth="1"/>
    <col min="11" max="11" width="9.8515625" style="0" bestFit="1" customWidth="1"/>
    <col min="12" max="12" width="9.00390625" style="0" customWidth="1"/>
    <col min="13" max="13" width="8.57421875" style="0" bestFit="1" customWidth="1"/>
    <col min="14" max="14" width="11.8515625" style="0" bestFit="1" customWidth="1"/>
    <col min="15" max="15" width="10.57421875" style="0" customWidth="1"/>
    <col min="16" max="20" width="8.140625" style="0" bestFit="1" customWidth="1"/>
    <col min="21" max="21" width="5.7109375" style="0" bestFit="1" customWidth="1"/>
    <col min="22" max="22" width="10.140625" style="0" bestFit="1" customWidth="1"/>
    <col min="23" max="23" width="12.140625" style="0" customWidth="1"/>
    <col min="24" max="24" width="5.7109375" style="0" customWidth="1"/>
  </cols>
  <sheetData>
    <row r="2" ht="15">
      <c r="A2" s="10" t="s">
        <v>122</v>
      </c>
    </row>
    <row r="3" ht="15">
      <c r="A3" t="s">
        <v>231</v>
      </c>
    </row>
    <row r="4" spans="1:8" ht="15">
      <c r="A4" s="2" t="s">
        <v>116</v>
      </c>
      <c r="H4" s="2" t="s">
        <v>197</v>
      </c>
    </row>
    <row r="6" spans="1:9" ht="15">
      <c r="A6" s="9" t="s">
        <v>107</v>
      </c>
      <c r="B6" s="1"/>
      <c r="C6" s="1"/>
      <c r="E6" s="136" t="s">
        <v>217</v>
      </c>
      <c r="F6" s="4"/>
      <c r="G6" s="81" t="s">
        <v>167</v>
      </c>
      <c r="H6" s="171" t="s">
        <v>7</v>
      </c>
      <c r="I6" s="172" t="s">
        <v>22</v>
      </c>
    </row>
    <row r="7" spans="1:9" ht="15">
      <c r="A7" s="1" t="s">
        <v>56</v>
      </c>
      <c r="B7" s="1">
        <f>'Input Page'!F9</f>
        <v>7</v>
      </c>
      <c r="C7" s="1" t="s">
        <v>86</v>
      </c>
      <c r="E7" s="136" t="s">
        <v>88</v>
      </c>
      <c r="F7" s="11"/>
      <c r="G7" s="81"/>
      <c r="H7" s="44" t="s">
        <v>35</v>
      </c>
      <c r="I7" s="44" t="s">
        <v>227</v>
      </c>
    </row>
    <row r="8" spans="1:9" ht="15">
      <c r="A8" s="1" t="s">
        <v>57</v>
      </c>
      <c r="B8" s="1">
        <f>'Input Page'!F10</f>
        <v>1</v>
      </c>
      <c r="C8" s="1" t="s">
        <v>86</v>
      </c>
      <c r="E8" s="64" t="s">
        <v>115</v>
      </c>
      <c r="F8" s="70" t="s">
        <v>87</v>
      </c>
      <c r="G8" s="81" t="s">
        <v>168</v>
      </c>
      <c r="H8" s="171" t="s">
        <v>23</v>
      </c>
      <c r="I8" s="172" t="s">
        <v>84</v>
      </c>
    </row>
    <row r="9" spans="1:9" ht="15">
      <c r="A9" s="1" t="s">
        <v>58</v>
      </c>
      <c r="B9" s="1">
        <f>'Input Page'!F11</f>
        <v>16</v>
      </c>
      <c r="C9" s="1" t="s">
        <v>86</v>
      </c>
      <c r="E9" s="4">
        <v>1</v>
      </c>
      <c r="F9" s="69">
        <f>B14</f>
        <v>0.0898</v>
      </c>
      <c r="G9" s="81"/>
      <c r="H9" s="44" t="s">
        <v>35</v>
      </c>
      <c r="I9" s="44" t="s">
        <v>227</v>
      </c>
    </row>
    <row r="10" spans="5:9" ht="15">
      <c r="E10" s="4">
        <v>2</v>
      </c>
      <c r="F10" s="69">
        <f>F9*(1+($B$15/100))</f>
        <v>0.09159600000000001</v>
      </c>
      <c r="G10" s="81" t="s">
        <v>169</v>
      </c>
      <c r="H10" s="171" t="s">
        <v>64</v>
      </c>
      <c r="I10" s="172" t="s">
        <v>83</v>
      </c>
    </row>
    <row r="11" spans="1:9" ht="15">
      <c r="A11" s="1" t="s">
        <v>96</v>
      </c>
      <c r="B11" s="1">
        <f>'Input Page'!B19</f>
        <v>5</v>
      </c>
      <c r="C11" s="1"/>
      <c r="E11" s="4">
        <v>3</v>
      </c>
      <c r="F11" s="69">
        <f>F10*(1+($B$15/100))</f>
        <v>0.09342792000000001</v>
      </c>
      <c r="G11" s="81"/>
      <c r="H11" s="44" t="s">
        <v>35</v>
      </c>
      <c r="I11" s="44" t="s">
        <v>227</v>
      </c>
    </row>
    <row r="12" spans="1:9" ht="15">
      <c r="A12" s="1" t="s">
        <v>106</v>
      </c>
      <c r="B12" s="7">
        <f>'Input Page'!B20</f>
        <v>240</v>
      </c>
      <c r="C12" s="1" t="s">
        <v>97</v>
      </c>
      <c r="E12" s="4">
        <v>4</v>
      </c>
      <c r="F12" s="69">
        <f>F11*(1+($B$15/100))</f>
        <v>0.09529647840000001</v>
      </c>
      <c r="G12" s="81" t="s">
        <v>170</v>
      </c>
      <c r="H12" s="171" t="s">
        <v>72</v>
      </c>
      <c r="I12" s="172" t="s">
        <v>85</v>
      </c>
    </row>
    <row r="13" spans="5:9" ht="15">
      <c r="E13" s="4">
        <v>5</v>
      </c>
      <c r="F13" s="69">
        <f>F12*(1+($B$15/100))</f>
        <v>0.09720240796800002</v>
      </c>
      <c r="H13" s="44" t="s">
        <v>35</v>
      </c>
      <c r="I13" s="44" t="s">
        <v>227</v>
      </c>
    </row>
    <row r="14" spans="1:6" ht="15">
      <c r="A14" s="135" t="s">
        <v>88</v>
      </c>
      <c r="B14" s="1">
        <f>'Input Page'!B23</f>
        <v>0.0898</v>
      </c>
      <c r="C14" s="1" t="s">
        <v>87</v>
      </c>
      <c r="E14" s="66"/>
      <c r="F14" s="68"/>
    </row>
    <row r="15" spans="1:3" ht="15">
      <c r="A15" s="135" t="s">
        <v>102</v>
      </c>
      <c r="B15" s="6">
        <f>'Input Page'!B24</f>
        <v>2</v>
      </c>
      <c r="C15" s="1" t="s">
        <v>103</v>
      </c>
    </row>
    <row r="17" spans="1:3" ht="15">
      <c r="A17" s="135" t="s">
        <v>108</v>
      </c>
      <c r="B17" s="6">
        <f>'Input Page'!B28*B11</f>
        <v>2117.4</v>
      </c>
      <c r="C17" s="1" t="s">
        <v>105</v>
      </c>
    </row>
    <row r="19" spans="1:10" ht="15">
      <c r="A19" s="12" t="s">
        <v>164</v>
      </c>
      <c r="J19" s="2" t="s">
        <v>123</v>
      </c>
    </row>
    <row r="20" spans="11:15" ht="15">
      <c r="K20" s="40"/>
      <c r="L20" s="128" t="s">
        <v>118</v>
      </c>
      <c r="M20" s="130" t="s">
        <v>119</v>
      </c>
      <c r="N20" s="128" t="s">
        <v>120</v>
      </c>
      <c r="O20" s="10" t="s">
        <v>109</v>
      </c>
    </row>
    <row r="21" spans="2:24" ht="15">
      <c r="B21" s="127" t="s">
        <v>0</v>
      </c>
      <c r="C21" s="127" t="s">
        <v>1</v>
      </c>
      <c r="D21" s="128" t="s">
        <v>6</v>
      </c>
      <c r="E21" s="127" t="s">
        <v>14</v>
      </c>
      <c r="F21" s="129" t="s">
        <v>2</v>
      </c>
      <c r="G21" s="128" t="s">
        <v>3</v>
      </c>
      <c r="H21" s="130" t="s">
        <v>4</v>
      </c>
      <c r="I21" s="129" t="s">
        <v>5</v>
      </c>
      <c r="J21" s="168" t="s">
        <v>0</v>
      </c>
      <c r="K21" s="128" t="s">
        <v>1</v>
      </c>
      <c r="L21" s="127" t="s">
        <v>105</v>
      </c>
      <c r="M21" s="130" t="s">
        <v>105</v>
      </c>
      <c r="N21" s="128" t="s">
        <v>121</v>
      </c>
      <c r="O21" s="137" t="s">
        <v>196</v>
      </c>
      <c r="P21" s="130" t="s">
        <v>104</v>
      </c>
      <c r="Q21" s="128" t="s">
        <v>98</v>
      </c>
      <c r="R21" s="130" t="s">
        <v>99</v>
      </c>
      <c r="S21" s="128" t="s">
        <v>100</v>
      </c>
      <c r="T21" s="130" t="s">
        <v>101</v>
      </c>
      <c r="U21" s="129" t="s">
        <v>110</v>
      </c>
      <c r="V21" s="40"/>
      <c r="X21" s="40"/>
    </row>
    <row r="22" spans="1:22" ht="15">
      <c r="A22" s="80" t="s">
        <v>145</v>
      </c>
      <c r="B22" s="34"/>
      <c r="C22" s="34"/>
      <c r="D22" s="36"/>
      <c r="E22" s="34"/>
      <c r="F22" s="38"/>
      <c r="G22" s="36"/>
      <c r="H22" s="4"/>
      <c r="I22" s="164"/>
      <c r="J22" s="18"/>
      <c r="K22" s="36"/>
      <c r="L22" s="34"/>
      <c r="M22" s="4"/>
      <c r="N22" s="36"/>
      <c r="O22" s="4"/>
      <c r="P22" s="4"/>
      <c r="Q22" s="36"/>
      <c r="R22" s="4"/>
      <c r="S22" s="36"/>
      <c r="T22" s="4"/>
      <c r="U22" s="38"/>
      <c r="V22" s="18" t="s">
        <v>145</v>
      </c>
    </row>
    <row r="23" spans="1:24" ht="15">
      <c r="A23" s="81"/>
      <c r="B23" s="35" t="s">
        <v>7</v>
      </c>
      <c r="C23" s="35" t="s">
        <v>8</v>
      </c>
      <c r="D23" s="37">
        <v>17</v>
      </c>
      <c r="E23" s="35" t="s">
        <v>15</v>
      </c>
      <c r="F23" s="39">
        <v>0.31</v>
      </c>
      <c r="G23" s="37">
        <v>0.38</v>
      </c>
      <c r="H23">
        <v>13.68</v>
      </c>
      <c r="I23" s="165">
        <v>139</v>
      </c>
      <c r="J23" s="40" t="s">
        <v>7</v>
      </c>
      <c r="K23" s="37" t="s">
        <v>8</v>
      </c>
      <c r="L23" s="166">
        <f>((F23*$B$9+G23*$B$8+H23*$B$7)*$B$12+(F23*24*(365-$B$12)))*$B$11/1000</f>
        <v>125.97</v>
      </c>
      <c r="M23" s="3">
        <f>$B$17-L23</f>
        <v>1991.43</v>
      </c>
      <c r="N23" s="41">
        <f>('Assumptions &amp; References'!$B$5)*M23</f>
        <v>597.429</v>
      </c>
      <c r="O23" s="47">
        <f>-I23*$B$11</f>
        <v>-695</v>
      </c>
      <c r="P23" s="47">
        <f>M23*$F$9</f>
        <v>178.83041400000002</v>
      </c>
      <c r="Q23" s="46">
        <f>M23*$F$10</f>
        <v>182.40702228000004</v>
      </c>
      <c r="R23" s="47">
        <f>M23*$F$11</f>
        <v>186.05516272560004</v>
      </c>
      <c r="S23" s="46">
        <f>M23*$F$12</f>
        <v>189.77626598011202</v>
      </c>
      <c r="T23" s="47">
        <f>M23*$F$13</f>
        <v>193.57179129971428</v>
      </c>
      <c r="U23" s="169">
        <f>IRR(O23:T23,5)</f>
        <v>0.10438997858981112</v>
      </c>
      <c r="V23" s="40"/>
      <c r="X23" s="40"/>
    </row>
    <row r="24" spans="1:24" ht="15">
      <c r="A24" s="81"/>
      <c r="B24" s="35" t="s">
        <v>23</v>
      </c>
      <c r="C24" s="35" t="s">
        <v>24</v>
      </c>
      <c r="D24" s="37">
        <v>17</v>
      </c>
      <c r="E24" s="35" t="s">
        <v>16</v>
      </c>
      <c r="F24" s="39">
        <v>0.75</v>
      </c>
      <c r="G24" s="37">
        <v>0.79</v>
      </c>
      <c r="H24">
        <v>20.65</v>
      </c>
      <c r="I24" s="165">
        <v>139</v>
      </c>
      <c r="J24" s="40" t="s">
        <v>23</v>
      </c>
      <c r="K24" s="37" t="s">
        <v>24</v>
      </c>
      <c r="L24" s="166">
        <f>((F24*$B$9+G24*$B$8+H24*$B$7)*$B$12+(F24*24*(365-$B$12)))/1000</f>
        <v>40.011599999999994</v>
      </c>
      <c r="M24" s="3">
        <f>$B$17-L24</f>
        <v>2077.3884000000003</v>
      </c>
      <c r="N24" s="41">
        <f>('Assumptions &amp; References'!$B$5)*M24</f>
        <v>623.2165200000001</v>
      </c>
      <c r="O24" s="47">
        <f>-I24*$B$11</f>
        <v>-695</v>
      </c>
      <c r="P24" s="47">
        <f>M24*$F$9</f>
        <v>186.54947832000005</v>
      </c>
      <c r="Q24" s="46">
        <f>M24*$F$10</f>
        <v>190.28046788640006</v>
      </c>
      <c r="R24" s="47">
        <f>M24*$F$11</f>
        <v>194.08607724412806</v>
      </c>
      <c r="S24" s="46">
        <f>M24*$F$12</f>
        <v>197.9677987890106</v>
      </c>
      <c r="T24" s="47">
        <f>M24*$F$13</f>
        <v>201.92715476479083</v>
      </c>
      <c r="U24" s="169">
        <f aca="true" t="shared" si="0" ref="U24:U87">IRR(O24:T24,5)</f>
        <v>0.1210247535177414</v>
      </c>
      <c r="V24" s="40"/>
      <c r="X24" s="40"/>
    </row>
    <row r="25" spans="1:24" ht="15">
      <c r="A25" s="81"/>
      <c r="B25" s="35" t="s">
        <v>23</v>
      </c>
      <c r="C25" s="35" t="s">
        <v>25</v>
      </c>
      <c r="D25" s="37">
        <v>17</v>
      </c>
      <c r="E25" s="35" t="s">
        <v>16</v>
      </c>
      <c r="F25" s="39">
        <v>0.4</v>
      </c>
      <c r="G25" s="37">
        <v>0.43</v>
      </c>
      <c r="H25">
        <v>19.37</v>
      </c>
      <c r="I25" s="165">
        <v>139</v>
      </c>
      <c r="J25" s="40" t="s">
        <v>23</v>
      </c>
      <c r="K25" s="37" t="s">
        <v>25</v>
      </c>
      <c r="L25" s="166">
        <f>((F25*$B$9+G25*$B$8+H25*$B$7)*$B$12+(F25*24*(365-$B$12)))/1000</f>
        <v>35.3808</v>
      </c>
      <c r="M25" s="3">
        <f>$B$17-L25</f>
        <v>2082.0192</v>
      </c>
      <c r="N25" s="41">
        <f>('Assumptions &amp; References'!$B$5)*M25</f>
        <v>624.60576</v>
      </c>
      <c r="O25" s="47">
        <f>-I25*$B$11</f>
        <v>-695</v>
      </c>
      <c r="P25" s="47">
        <f>M25*$F$9</f>
        <v>186.96532416000002</v>
      </c>
      <c r="Q25" s="46">
        <f>M25*$F$10</f>
        <v>190.70463064320003</v>
      </c>
      <c r="R25" s="47">
        <f>M25*$F$11</f>
        <v>194.51872325606405</v>
      </c>
      <c r="S25" s="46">
        <f>M25*$F$12</f>
        <v>198.4090977211853</v>
      </c>
      <c r="T25" s="47">
        <f>M25*$F$13</f>
        <v>202.37727967560903</v>
      </c>
      <c r="U25" s="169">
        <f t="shared" si="0"/>
        <v>0.12191307775472385</v>
      </c>
      <c r="V25" s="40"/>
      <c r="X25" s="40"/>
    </row>
    <row r="26" spans="1:24" ht="15">
      <c r="A26" s="81"/>
      <c r="B26" s="35" t="s">
        <v>64</v>
      </c>
      <c r="C26" s="35" t="s">
        <v>65</v>
      </c>
      <c r="D26" s="37">
        <v>17</v>
      </c>
      <c r="E26" s="35" t="s">
        <v>15</v>
      </c>
      <c r="F26" s="39">
        <v>0.35</v>
      </c>
      <c r="G26" s="37">
        <v>0.4</v>
      </c>
      <c r="H26">
        <v>16.5</v>
      </c>
      <c r="I26" s="165">
        <v>189</v>
      </c>
      <c r="J26" s="40" t="s">
        <v>64</v>
      </c>
      <c r="K26" s="37" t="s">
        <v>65</v>
      </c>
      <c r="L26" s="166">
        <f>((F26*$B$9+G26*$B$8+H26*$B$7)*$B$12+(F26*24*(365-$B$12)))/1000</f>
        <v>30.21</v>
      </c>
      <c r="M26" s="3">
        <f>$B$17-L26</f>
        <v>2087.19</v>
      </c>
      <c r="N26" s="41">
        <f>('Assumptions &amp; References'!$B$5)*M26</f>
        <v>626.157</v>
      </c>
      <c r="O26" s="47">
        <f>-I26*$B$11</f>
        <v>-945</v>
      </c>
      <c r="P26" s="47">
        <f>M26*$F$9</f>
        <v>187.429662</v>
      </c>
      <c r="Q26" s="46">
        <f>M26*$F$10</f>
        <v>191.17825524000003</v>
      </c>
      <c r="R26" s="47">
        <f>M26*$F$11</f>
        <v>195.00182034480002</v>
      </c>
      <c r="S26" s="46">
        <f>M26*$F$12</f>
        <v>198.90185675169602</v>
      </c>
      <c r="T26" s="47">
        <f>M26*$F$13</f>
        <v>202.87989388672997</v>
      </c>
      <c r="U26" s="169">
        <f t="shared" si="0"/>
        <v>0.010504573868064937</v>
      </c>
      <c r="V26" s="40"/>
      <c r="X26" s="40"/>
    </row>
    <row r="27" spans="1:24" ht="15">
      <c r="A27" s="81"/>
      <c r="B27" s="35" t="s">
        <v>72</v>
      </c>
      <c r="C27" s="35" t="s">
        <v>73</v>
      </c>
      <c r="D27" s="37">
        <v>17</v>
      </c>
      <c r="E27" s="35" t="s">
        <v>15</v>
      </c>
      <c r="F27" s="39">
        <v>0.42</v>
      </c>
      <c r="G27" s="37">
        <v>0.6</v>
      </c>
      <c r="H27">
        <v>17.8</v>
      </c>
      <c r="I27" s="165">
        <v>239.99</v>
      </c>
      <c r="J27" s="40" t="s">
        <v>72</v>
      </c>
      <c r="K27" s="37" t="s">
        <v>73</v>
      </c>
      <c r="L27" s="166">
        <f>((F27*$B$9+G27*$B$8+H27*$B$7)*$B$12+(F27*24*(365-$B$12)))/1000</f>
        <v>32.9208</v>
      </c>
      <c r="M27" s="3">
        <f>$B$17-L27</f>
        <v>2084.4792</v>
      </c>
      <c r="N27" s="41">
        <f>('Assumptions &amp; References'!$B$5)*M27</f>
        <v>625.3437600000001</v>
      </c>
      <c r="O27" s="47">
        <f>-I27*$B$11</f>
        <v>-1199.95</v>
      </c>
      <c r="P27" s="47">
        <f>M27*$F$9</f>
        <v>187.18623216000003</v>
      </c>
      <c r="Q27" s="46">
        <f>M27*$F$10</f>
        <v>190.92995680320004</v>
      </c>
      <c r="R27" s="47">
        <f>M27*$F$11</f>
        <v>194.74855593926404</v>
      </c>
      <c r="S27" s="46">
        <f>M27*$F$12</f>
        <v>198.64352705804933</v>
      </c>
      <c r="T27" s="47">
        <f>M27*$F$13</f>
        <v>202.61639759921033</v>
      </c>
      <c r="U27" s="169">
        <f t="shared" si="0"/>
        <v>-0.06491252879660074</v>
      </c>
      <c r="V27" s="40"/>
      <c r="X27" s="40"/>
    </row>
    <row r="28" spans="1:22" ht="15">
      <c r="A28" s="80" t="s">
        <v>146</v>
      </c>
      <c r="B28" s="34"/>
      <c r="C28" s="34"/>
      <c r="D28" s="36"/>
      <c r="E28" s="34"/>
      <c r="F28" s="38"/>
      <c r="G28" s="36"/>
      <c r="H28" s="4"/>
      <c r="I28" s="164"/>
      <c r="J28" s="18"/>
      <c r="K28" s="36"/>
      <c r="L28" s="167"/>
      <c r="M28" s="43"/>
      <c r="N28" s="42"/>
      <c r="O28" s="48"/>
      <c r="P28" s="48"/>
      <c r="Q28" s="45"/>
      <c r="R28" s="48"/>
      <c r="S28" s="45"/>
      <c r="T28" s="48"/>
      <c r="U28" s="170"/>
      <c r="V28" s="18" t="s">
        <v>146</v>
      </c>
    </row>
    <row r="29" spans="1:24" ht="15">
      <c r="A29" s="81"/>
      <c r="B29" s="35" t="s">
        <v>23</v>
      </c>
      <c r="C29" s="35" t="s">
        <v>26</v>
      </c>
      <c r="D29" s="37">
        <v>18.5</v>
      </c>
      <c r="E29" s="35" t="s">
        <v>33</v>
      </c>
      <c r="F29" s="39">
        <v>0.34</v>
      </c>
      <c r="G29" s="37">
        <v>0.44</v>
      </c>
      <c r="H29">
        <v>16.33</v>
      </c>
      <c r="I29" s="165">
        <v>200</v>
      </c>
      <c r="J29" s="40" t="s">
        <v>23</v>
      </c>
      <c r="K29" s="37" t="s">
        <v>26</v>
      </c>
      <c r="L29" s="166">
        <f>((F29*$B$9+G29*$B$8+H29*$B$7)*$B$12+(F29*24*(365-$B$12)))/1000</f>
        <v>29.865599999999993</v>
      </c>
      <c r="M29" s="3">
        <f>$B$17-L29</f>
        <v>2087.5344</v>
      </c>
      <c r="N29" s="41">
        <f>('Assumptions &amp; References'!$B$5)*M29</f>
        <v>626.26032</v>
      </c>
      <c r="O29" s="47">
        <f>-I29*$B$11</f>
        <v>-1000</v>
      </c>
      <c r="P29" s="47">
        <f>M29*$F$9</f>
        <v>187.46058912</v>
      </c>
      <c r="Q29" s="46">
        <f>M29*$F$10</f>
        <v>191.20980090240002</v>
      </c>
      <c r="R29" s="47">
        <f>M29*$F$11</f>
        <v>195.03399692044803</v>
      </c>
      <c r="S29" s="46">
        <f>M29*$F$12</f>
        <v>198.934676858857</v>
      </c>
      <c r="T29" s="47">
        <f>M29*$F$13</f>
        <v>202.91337039603414</v>
      </c>
      <c r="U29" s="169">
        <f t="shared" si="0"/>
        <v>-0.008088400291963135</v>
      </c>
      <c r="V29" s="40"/>
      <c r="X29" s="40"/>
    </row>
    <row r="30" spans="1:24" ht="15">
      <c r="A30" s="81"/>
      <c r="B30" s="35" t="s">
        <v>23</v>
      </c>
      <c r="C30" s="35" t="s">
        <v>27</v>
      </c>
      <c r="D30" s="37">
        <v>18.5</v>
      </c>
      <c r="E30" s="35" t="s">
        <v>33</v>
      </c>
      <c r="F30" s="39">
        <v>0.3</v>
      </c>
      <c r="G30" s="37">
        <v>0.39</v>
      </c>
      <c r="H30">
        <v>15.91</v>
      </c>
      <c r="I30" s="165">
        <v>119</v>
      </c>
      <c r="J30" s="40" t="s">
        <v>23</v>
      </c>
      <c r="K30" s="37" t="s">
        <v>27</v>
      </c>
      <c r="L30" s="166">
        <f>((F30*$B$9+G30*$B$8+H30*$B$7)*$B$12+(F30*24*(365-$B$12)))/1000</f>
        <v>28.8744</v>
      </c>
      <c r="M30" s="3">
        <f>$B$17-L30</f>
        <v>2088.5256</v>
      </c>
      <c r="N30" s="41">
        <f>('Assumptions &amp; References'!$B$5)*M30</f>
        <v>626.55768</v>
      </c>
      <c r="O30" s="47">
        <f>-I30*$B$11</f>
        <v>-595</v>
      </c>
      <c r="P30" s="47">
        <f>M30*$F$9</f>
        <v>187.54959888</v>
      </c>
      <c r="Q30" s="46">
        <f>M30*$F$10</f>
        <v>191.3005908576</v>
      </c>
      <c r="R30" s="47">
        <f>M30*$F$11</f>
        <v>195.126602674752</v>
      </c>
      <c r="S30" s="46">
        <f>M30*$F$12</f>
        <v>199.02913472824704</v>
      </c>
      <c r="T30" s="47">
        <f>M30*$F$13</f>
        <v>203.009717422812</v>
      </c>
      <c r="U30" s="169">
        <f t="shared" si="0"/>
        <v>0.18837088116572723</v>
      </c>
      <c r="V30" s="40"/>
      <c r="X30" s="40"/>
    </row>
    <row r="31" spans="1:24" ht="15">
      <c r="A31" s="81"/>
      <c r="B31" s="35" t="s">
        <v>59</v>
      </c>
      <c r="C31" s="35" t="s">
        <v>60</v>
      </c>
      <c r="D31" s="37">
        <v>18.5</v>
      </c>
      <c r="E31" s="35" t="s">
        <v>33</v>
      </c>
      <c r="F31" s="39">
        <v>0.6</v>
      </c>
      <c r="G31" s="37">
        <v>0.7</v>
      </c>
      <c r="H31">
        <v>15</v>
      </c>
      <c r="I31" s="165">
        <v>179</v>
      </c>
      <c r="J31" s="40" t="s">
        <v>59</v>
      </c>
      <c r="K31" s="37" t="s">
        <v>60</v>
      </c>
      <c r="L31" s="166">
        <f>((F31*$B$9+G31*$B$8+H31*$B$7)*$B$12+(F31*24*(365-$B$12)))/1000</f>
        <v>29.472</v>
      </c>
      <c r="M31" s="3">
        <f>$B$17-L31</f>
        <v>2087.928</v>
      </c>
      <c r="N31" s="41">
        <f>('Assumptions &amp; References'!$B$5)*M31</f>
        <v>626.3783999999999</v>
      </c>
      <c r="O31" s="47">
        <f>-I31*$B$11</f>
        <v>-895</v>
      </c>
      <c r="P31" s="47">
        <f>M31*$F$9</f>
        <v>187.4959344</v>
      </c>
      <c r="Q31" s="46">
        <f>M31*$F$10</f>
        <v>191.24585308800002</v>
      </c>
      <c r="R31" s="47">
        <f>M31*$F$11</f>
        <v>195.07077014976002</v>
      </c>
      <c r="S31" s="46">
        <f>M31*$F$12</f>
        <v>198.9721855527552</v>
      </c>
      <c r="T31" s="47">
        <f>M31*$F$13</f>
        <v>202.95162926381033</v>
      </c>
      <c r="U31" s="169">
        <f t="shared" si="0"/>
        <v>0.029100551377215157</v>
      </c>
      <c r="V31" s="40"/>
      <c r="X31" s="40"/>
    </row>
    <row r="32" spans="1:22" ht="15">
      <c r="A32" s="80" t="s">
        <v>147</v>
      </c>
      <c r="B32" s="34"/>
      <c r="C32" s="34"/>
      <c r="D32" s="36"/>
      <c r="E32" s="34"/>
      <c r="F32" s="38"/>
      <c r="G32" s="36"/>
      <c r="H32" s="4"/>
      <c r="I32" s="164"/>
      <c r="J32" s="18"/>
      <c r="K32" s="36"/>
      <c r="L32" s="167"/>
      <c r="M32" s="43"/>
      <c r="N32" s="42"/>
      <c r="O32" s="48"/>
      <c r="P32" s="48"/>
      <c r="Q32" s="45"/>
      <c r="R32" s="48"/>
      <c r="S32" s="45"/>
      <c r="T32" s="48"/>
      <c r="U32" s="170"/>
      <c r="V32" s="18" t="s">
        <v>147</v>
      </c>
    </row>
    <row r="33" spans="1:24" ht="15">
      <c r="A33" s="81"/>
      <c r="B33" s="35" t="s">
        <v>7</v>
      </c>
      <c r="C33" s="35" t="s">
        <v>9</v>
      </c>
      <c r="D33" s="37">
        <v>19</v>
      </c>
      <c r="E33" s="35" t="s">
        <v>16</v>
      </c>
      <c r="F33" s="39">
        <v>0.3</v>
      </c>
      <c r="G33" s="37">
        <v>0.32</v>
      </c>
      <c r="H33">
        <v>16.5</v>
      </c>
      <c r="I33" s="165">
        <v>215</v>
      </c>
      <c r="J33" s="40" t="s">
        <v>7</v>
      </c>
      <c r="K33" s="37" t="s">
        <v>9</v>
      </c>
      <c r="L33" s="166">
        <f aca="true" t="shared" si="1" ref="L33:L48">((F33*$B$9+G33*$B$8+H33*$B$7)*$B$12+(F33*24*(365-$B$12)))/1000</f>
        <v>29.848800000000004</v>
      </c>
      <c r="M33" s="3">
        <f aca="true" t="shared" si="2" ref="M33:M48">$B$17-L33</f>
        <v>2087.5512</v>
      </c>
      <c r="N33" s="41">
        <f>('Assumptions &amp; References'!$B$5)*M33</f>
        <v>626.26536</v>
      </c>
      <c r="O33" s="47">
        <f aca="true" t="shared" si="3" ref="O33:O48">-I33*$B$11</f>
        <v>-1075</v>
      </c>
      <c r="P33" s="47">
        <f aca="true" t="shared" si="4" ref="P33:P48">M33*$F$9</f>
        <v>187.46209776</v>
      </c>
      <c r="Q33" s="46">
        <f aca="true" t="shared" si="5" ref="Q33:Q48">M33*$F$10</f>
        <v>191.2113397152</v>
      </c>
      <c r="R33" s="47">
        <f aca="true" t="shared" si="6" ref="R33:R48">M33*$F$11</f>
        <v>195.035566509504</v>
      </c>
      <c r="S33" s="46">
        <f aca="true" t="shared" si="7" ref="S33:S48">M33*$F$12</f>
        <v>198.9362778396941</v>
      </c>
      <c r="T33" s="47">
        <f aca="true" t="shared" si="8" ref="T33:T48">M33*$F$13</f>
        <v>202.91500339648798</v>
      </c>
      <c r="U33" s="169">
        <f t="shared" si="0"/>
        <v>-0.031110738951846975</v>
      </c>
      <c r="V33" s="40"/>
      <c r="X33" s="40"/>
    </row>
    <row r="34" spans="1:24" ht="15">
      <c r="A34" s="81"/>
      <c r="B34" s="35" t="s">
        <v>7</v>
      </c>
      <c r="C34" s="35" t="s">
        <v>10</v>
      </c>
      <c r="D34" s="37">
        <v>19</v>
      </c>
      <c r="E34" s="35" t="s">
        <v>15</v>
      </c>
      <c r="F34" s="39">
        <v>0.28</v>
      </c>
      <c r="G34" s="37">
        <v>0.48</v>
      </c>
      <c r="H34">
        <v>18.01</v>
      </c>
      <c r="I34" s="165">
        <v>179</v>
      </c>
      <c r="J34" s="40" t="s">
        <v>7</v>
      </c>
      <c r="K34" s="37" t="s">
        <v>10</v>
      </c>
      <c r="L34" s="166">
        <f t="shared" si="1"/>
        <v>32.2872</v>
      </c>
      <c r="M34" s="3">
        <f t="shared" si="2"/>
        <v>2085.1128</v>
      </c>
      <c r="N34" s="41">
        <f>('Assumptions &amp; References'!$B$5)*M34</f>
        <v>625.5338399999999</v>
      </c>
      <c r="O34" s="47">
        <f t="shared" si="3"/>
        <v>-895</v>
      </c>
      <c r="P34" s="47">
        <f t="shared" si="4"/>
        <v>187.24312944</v>
      </c>
      <c r="Q34" s="46">
        <f t="shared" si="5"/>
        <v>190.98799202880002</v>
      </c>
      <c r="R34" s="47">
        <f t="shared" si="6"/>
        <v>194.807751869376</v>
      </c>
      <c r="S34" s="46">
        <f t="shared" si="7"/>
        <v>198.70390690676354</v>
      </c>
      <c r="T34" s="47">
        <f t="shared" si="8"/>
        <v>202.6779850448988</v>
      </c>
      <c r="U34" s="169">
        <f t="shared" si="0"/>
        <v>0.02863513842099736</v>
      </c>
      <c r="V34" s="40"/>
      <c r="X34" s="40"/>
    </row>
    <row r="35" spans="1:24" ht="15">
      <c r="A35" s="81"/>
      <c r="B35" s="35" t="s">
        <v>23</v>
      </c>
      <c r="C35" s="35" t="s">
        <v>28</v>
      </c>
      <c r="D35" s="37">
        <v>19</v>
      </c>
      <c r="E35" s="35" t="s">
        <v>16</v>
      </c>
      <c r="F35" s="39">
        <v>0.37</v>
      </c>
      <c r="G35" s="37">
        <v>0.46</v>
      </c>
      <c r="H35">
        <v>15.63</v>
      </c>
      <c r="I35" s="165">
        <v>259.99</v>
      </c>
      <c r="J35" s="40" t="s">
        <v>23</v>
      </c>
      <c r="K35" s="37" t="s">
        <v>28</v>
      </c>
      <c r="L35" s="166">
        <f t="shared" si="1"/>
        <v>28.899600000000003</v>
      </c>
      <c r="M35" s="3">
        <f t="shared" si="2"/>
        <v>2088.5004</v>
      </c>
      <c r="N35" s="41">
        <f>('Assumptions &amp; References'!$B$5)*M35</f>
        <v>626.55012</v>
      </c>
      <c r="O35" s="47">
        <f t="shared" si="3"/>
        <v>-1299.95</v>
      </c>
      <c r="P35" s="47">
        <f t="shared" si="4"/>
        <v>187.54733592</v>
      </c>
      <c r="Q35" s="46">
        <f t="shared" si="5"/>
        <v>191.29828263840002</v>
      </c>
      <c r="R35" s="47">
        <f t="shared" si="6"/>
        <v>195.12424829116802</v>
      </c>
      <c r="S35" s="46">
        <f t="shared" si="7"/>
        <v>199.02673325699138</v>
      </c>
      <c r="T35" s="47">
        <f t="shared" si="8"/>
        <v>203.0072679221312</v>
      </c>
      <c r="U35" s="169">
        <f t="shared" si="0"/>
        <v>-0.0874815866960368</v>
      </c>
      <c r="V35" s="40"/>
      <c r="X35" s="40"/>
    </row>
    <row r="36" spans="1:24" ht="15">
      <c r="A36" s="81"/>
      <c r="B36" s="35" t="s">
        <v>23</v>
      </c>
      <c r="C36" s="35" t="s">
        <v>29</v>
      </c>
      <c r="D36" s="37">
        <v>19</v>
      </c>
      <c r="E36" s="35" t="s">
        <v>16</v>
      </c>
      <c r="F36" s="39">
        <v>0.35</v>
      </c>
      <c r="G36" s="37">
        <v>0.43</v>
      </c>
      <c r="H36">
        <v>17.68</v>
      </c>
      <c r="I36" s="165">
        <v>299.99</v>
      </c>
      <c r="J36" s="40" t="s">
        <v>23</v>
      </c>
      <c r="K36" s="37" t="s">
        <v>29</v>
      </c>
      <c r="L36" s="166">
        <f t="shared" si="1"/>
        <v>32.1996</v>
      </c>
      <c r="M36" s="3">
        <f t="shared" si="2"/>
        <v>2085.2004</v>
      </c>
      <c r="N36" s="41">
        <f>('Assumptions &amp; References'!$B$5)*M36</f>
        <v>625.56012</v>
      </c>
      <c r="O36" s="47">
        <f t="shared" si="3"/>
        <v>-1499.95</v>
      </c>
      <c r="P36" s="47">
        <f t="shared" si="4"/>
        <v>187.25099592000004</v>
      </c>
      <c r="Q36" s="46">
        <f t="shared" si="5"/>
        <v>190.99601583840004</v>
      </c>
      <c r="R36" s="47">
        <f t="shared" si="6"/>
        <v>194.81593615516803</v>
      </c>
      <c r="S36" s="46">
        <f t="shared" si="7"/>
        <v>198.7122548782714</v>
      </c>
      <c r="T36" s="47">
        <f t="shared" si="8"/>
        <v>202.68649997583685</v>
      </c>
      <c r="U36" s="169">
        <f t="shared" si="0"/>
        <v>-0.12703756042160227</v>
      </c>
      <c r="V36" s="40"/>
      <c r="X36" s="40"/>
    </row>
    <row r="37" spans="1:24" ht="15">
      <c r="A37" s="81"/>
      <c r="B37" s="35" t="s">
        <v>23</v>
      </c>
      <c r="C37" s="35" t="s">
        <v>34</v>
      </c>
      <c r="D37" s="37">
        <v>19</v>
      </c>
      <c r="E37" s="35" t="s">
        <v>15</v>
      </c>
      <c r="F37" s="39">
        <v>0.31</v>
      </c>
      <c r="G37" s="37">
        <v>0.37</v>
      </c>
      <c r="H37">
        <v>18.81</v>
      </c>
      <c r="I37" s="165">
        <v>200</v>
      </c>
      <c r="J37" s="40" t="s">
        <v>23</v>
      </c>
      <c r="K37" s="37" t="s">
        <v>34</v>
      </c>
      <c r="L37" s="166">
        <f t="shared" si="1"/>
        <v>33.81</v>
      </c>
      <c r="M37" s="3">
        <f t="shared" si="2"/>
        <v>2083.59</v>
      </c>
      <c r="N37" s="41">
        <f>('Assumptions &amp; References'!$B$5)*M37</f>
        <v>625.077</v>
      </c>
      <c r="O37" s="47">
        <f t="shared" si="3"/>
        <v>-1000</v>
      </c>
      <c r="P37" s="47">
        <f t="shared" si="4"/>
        <v>187.10638200000002</v>
      </c>
      <c r="Q37" s="46">
        <f t="shared" si="5"/>
        <v>190.84850964000003</v>
      </c>
      <c r="R37" s="47">
        <f t="shared" si="6"/>
        <v>194.66547983280003</v>
      </c>
      <c r="S37" s="46">
        <f t="shared" si="7"/>
        <v>198.55878942945603</v>
      </c>
      <c r="T37" s="47">
        <f t="shared" si="8"/>
        <v>202.52996521804516</v>
      </c>
      <c r="U37" s="169">
        <f t="shared" si="0"/>
        <v>-0.008701992243385208</v>
      </c>
      <c r="V37" s="40"/>
      <c r="X37" s="40"/>
    </row>
    <row r="38" spans="1:24" ht="15">
      <c r="A38" s="81"/>
      <c r="B38" s="35" t="s">
        <v>23</v>
      </c>
      <c r="C38" s="35" t="s">
        <v>30</v>
      </c>
      <c r="D38" s="37">
        <v>19</v>
      </c>
      <c r="E38" s="35" t="s">
        <v>15</v>
      </c>
      <c r="F38" s="39">
        <v>0.26</v>
      </c>
      <c r="G38" s="37">
        <v>0.37</v>
      </c>
      <c r="H38">
        <v>17.9</v>
      </c>
      <c r="I38" s="165">
        <v>200</v>
      </c>
      <c r="J38" s="40" t="s">
        <v>23</v>
      </c>
      <c r="K38" s="37" t="s">
        <v>30</v>
      </c>
      <c r="L38" s="166">
        <f t="shared" si="1"/>
        <v>31.939199999999996</v>
      </c>
      <c r="M38" s="3">
        <f t="shared" si="2"/>
        <v>2085.4608000000003</v>
      </c>
      <c r="N38" s="41">
        <f>('Assumptions &amp; References'!$B$5)*M38</f>
        <v>625.6382400000001</v>
      </c>
      <c r="O38" s="47">
        <f t="shared" si="3"/>
        <v>-1000</v>
      </c>
      <c r="P38" s="47">
        <f t="shared" si="4"/>
        <v>187.27437984000002</v>
      </c>
      <c r="Q38" s="46">
        <f t="shared" si="5"/>
        <v>191.01986743680004</v>
      </c>
      <c r="R38" s="47">
        <f t="shared" si="6"/>
        <v>194.84026478553605</v>
      </c>
      <c r="S38" s="46">
        <f t="shared" si="7"/>
        <v>198.73707008124677</v>
      </c>
      <c r="T38" s="47">
        <f t="shared" si="8"/>
        <v>202.71181148287172</v>
      </c>
      <c r="U38" s="169">
        <f t="shared" si="0"/>
        <v>-0.008410903677744181</v>
      </c>
      <c r="V38" s="40"/>
      <c r="X38" s="40"/>
    </row>
    <row r="39" spans="1:24" ht="15">
      <c r="A39" s="81"/>
      <c r="B39" s="35" t="s">
        <v>23</v>
      </c>
      <c r="C39" s="35" t="s">
        <v>31</v>
      </c>
      <c r="D39" s="37">
        <v>19</v>
      </c>
      <c r="E39" s="35" t="s">
        <v>16</v>
      </c>
      <c r="F39" s="39">
        <v>0.32</v>
      </c>
      <c r="G39" s="37">
        <v>0.37</v>
      </c>
      <c r="H39">
        <v>18.3</v>
      </c>
      <c r="I39" s="165">
        <v>200</v>
      </c>
      <c r="J39" s="40" t="s">
        <v>23</v>
      </c>
      <c r="K39" s="37" t="s">
        <v>31</v>
      </c>
      <c r="L39" s="166">
        <f t="shared" si="1"/>
        <v>33.02160000000001</v>
      </c>
      <c r="M39" s="3">
        <f t="shared" si="2"/>
        <v>2084.3784</v>
      </c>
      <c r="N39" s="41">
        <f>('Assumptions &amp; References'!$B$5)*M39</f>
        <v>625.31352</v>
      </c>
      <c r="O39" s="47">
        <f t="shared" si="3"/>
        <v>-1000</v>
      </c>
      <c r="P39" s="47">
        <f t="shared" si="4"/>
        <v>187.17718032000002</v>
      </c>
      <c r="Q39" s="46">
        <f t="shared" si="5"/>
        <v>190.92072392640003</v>
      </c>
      <c r="R39" s="47">
        <f t="shared" si="6"/>
        <v>194.73913840492804</v>
      </c>
      <c r="S39" s="46">
        <f t="shared" si="7"/>
        <v>198.63392117302658</v>
      </c>
      <c r="T39" s="47">
        <f t="shared" si="8"/>
        <v>202.60659959648714</v>
      </c>
      <c r="U39" s="169">
        <f t="shared" si="0"/>
        <v>-0.008579305918208453</v>
      </c>
      <c r="V39" s="40"/>
      <c r="X39" s="40"/>
    </row>
    <row r="40" spans="1:24" ht="15">
      <c r="A40" s="81"/>
      <c r="B40" s="35" t="s">
        <v>23</v>
      </c>
      <c r="C40" s="35" t="s">
        <v>32</v>
      </c>
      <c r="D40" s="37">
        <v>19</v>
      </c>
      <c r="E40" s="35" t="s">
        <v>16</v>
      </c>
      <c r="F40" s="39">
        <v>0.41</v>
      </c>
      <c r="G40" s="37">
        <v>0.45</v>
      </c>
      <c r="H40">
        <v>18.5</v>
      </c>
      <c r="I40" s="165">
        <v>200</v>
      </c>
      <c r="J40" s="40" t="s">
        <v>23</v>
      </c>
      <c r="K40" s="37" t="s">
        <v>32</v>
      </c>
      <c r="L40" s="166">
        <f t="shared" si="1"/>
        <v>33.992399999999996</v>
      </c>
      <c r="M40" s="3">
        <f t="shared" si="2"/>
        <v>2083.4076</v>
      </c>
      <c r="N40" s="41">
        <f>('Assumptions &amp; References'!$B$5)*M40</f>
        <v>625.02228</v>
      </c>
      <c r="O40" s="47">
        <f t="shared" si="3"/>
        <v>-1000</v>
      </c>
      <c r="P40" s="47">
        <f t="shared" si="4"/>
        <v>187.09000248</v>
      </c>
      <c r="Q40" s="46">
        <f t="shared" si="5"/>
        <v>190.83180252960003</v>
      </c>
      <c r="R40" s="47">
        <f t="shared" si="6"/>
        <v>194.64843858019202</v>
      </c>
      <c r="S40" s="46">
        <f t="shared" si="7"/>
        <v>198.54140735179587</v>
      </c>
      <c r="T40" s="47">
        <f t="shared" si="8"/>
        <v>202.51223549883179</v>
      </c>
      <c r="U40" s="169">
        <f t="shared" si="0"/>
        <v>-0.008730379329842358</v>
      </c>
      <c r="V40" s="40"/>
      <c r="X40" s="40"/>
    </row>
    <row r="41" spans="1:24" ht="15">
      <c r="A41" s="81"/>
      <c r="B41" s="35" t="s">
        <v>59</v>
      </c>
      <c r="C41" s="35" t="s">
        <v>61</v>
      </c>
      <c r="D41" s="37">
        <v>19</v>
      </c>
      <c r="E41" s="35" t="s">
        <v>16</v>
      </c>
      <c r="F41" s="39">
        <v>0.39</v>
      </c>
      <c r="G41" s="37">
        <v>0.44</v>
      </c>
      <c r="H41">
        <v>18.3</v>
      </c>
      <c r="I41" s="165">
        <v>169</v>
      </c>
      <c r="J41" s="40" t="s">
        <v>59</v>
      </c>
      <c r="K41" s="37" t="s">
        <v>61</v>
      </c>
      <c r="L41" s="166">
        <f t="shared" si="1"/>
        <v>33.517199999999995</v>
      </c>
      <c r="M41" s="3">
        <f t="shared" si="2"/>
        <v>2083.8828000000003</v>
      </c>
      <c r="N41" s="41">
        <f>('Assumptions &amp; References'!$B$5)*M41</f>
        <v>625.16484</v>
      </c>
      <c r="O41" s="47">
        <f t="shared" si="3"/>
        <v>-845</v>
      </c>
      <c r="P41" s="47">
        <f t="shared" si="4"/>
        <v>187.13267544000004</v>
      </c>
      <c r="Q41" s="46">
        <f t="shared" si="5"/>
        <v>190.87532894880005</v>
      </c>
      <c r="R41" s="47">
        <f t="shared" si="6"/>
        <v>194.69283552777605</v>
      </c>
      <c r="S41" s="46">
        <f t="shared" si="7"/>
        <v>198.58669223833158</v>
      </c>
      <c r="T41" s="47">
        <f t="shared" si="8"/>
        <v>202.55842608309823</v>
      </c>
      <c r="U41" s="169">
        <f t="shared" si="0"/>
        <v>0.04857192421467119</v>
      </c>
      <c r="V41" s="40"/>
      <c r="X41" s="40"/>
    </row>
    <row r="42" spans="1:24" ht="15">
      <c r="A42" s="81"/>
      <c r="B42" s="35" t="s">
        <v>64</v>
      </c>
      <c r="C42" s="35" t="s">
        <v>66</v>
      </c>
      <c r="D42" s="37">
        <v>19</v>
      </c>
      <c r="E42" s="35" t="s">
        <v>16</v>
      </c>
      <c r="F42" s="39">
        <v>0.31</v>
      </c>
      <c r="G42" s="37">
        <v>0.68</v>
      </c>
      <c r="H42">
        <v>17.8</v>
      </c>
      <c r="I42" s="165">
        <v>209</v>
      </c>
      <c r="J42" s="40" t="s">
        <v>64</v>
      </c>
      <c r="K42" s="37" t="s">
        <v>66</v>
      </c>
      <c r="L42" s="166">
        <f t="shared" si="1"/>
        <v>32.1876</v>
      </c>
      <c r="M42" s="3">
        <f t="shared" si="2"/>
        <v>2085.2124</v>
      </c>
      <c r="N42" s="41">
        <f>('Assumptions &amp; References'!$B$5)*M42</f>
        <v>625.56372</v>
      </c>
      <c r="O42" s="47">
        <f t="shared" si="3"/>
        <v>-1045</v>
      </c>
      <c r="P42" s="47">
        <f t="shared" si="4"/>
        <v>187.25207352</v>
      </c>
      <c r="Q42" s="46">
        <f t="shared" si="5"/>
        <v>190.9971149904</v>
      </c>
      <c r="R42" s="47">
        <f t="shared" si="6"/>
        <v>194.81705729020803</v>
      </c>
      <c r="S42" s="46">
        <f t="shared" si="7"/>
        <v>198.71339843601217</v>
      </c>
      <c r="T42" s="47">
        <f t="shared" si="8"/>
        <v>202.68766640473243</v>
      </c>
      <c r="U42" s="169">
        <f t="shared" si="0"/>
        <v>-0.02256074650926563</v>
      </c>
      <c r="V42" s="40"/>
      <c r="X42" s="40"/>
    </row>
    <row r="43" spans="1:24" ht="15">
      <c r="A43" s="81"/>
      <c r="B43" s="35" t="s">
        <v>64</v>
      </c>
      <c r="C43" s="35" t="s">
        <v>67</v>
      </c>
      <c r="D43" s="37">
        <v>19</v>
      </c>
      <c r="E43" s="35" t="s">
        <v>15</v>
      </c>
      <c r="F43" s="39">
        <v>0.37</v>
      </c>
      <c r="G43" s="37">
        <v>0.42</v>
      </c>
      <c r="H43">
        <v>17.09</v>
      </c>
      <c r="I43" s="165">
        <v>229</v>
      </c>
      <c r="J43" s="40" t="s">
        <v>64</v>
      </c>
      <c r="K43" s="37" t="s">
        <v>67</v>
      </c>
      <c r="L43" s="166">
        <f t="shared" si="1"/>
        <v>31.3428</v>
      </c>
      <c r="M43" s="3">
        <f t="shared" si="2"/>
        <v>2086.0572</v>
      </c>
      <c r="N43" s="41">
        <f>('Assumptions &amp; References'!$B$5)*M43</f>
        <v>625.8171600000001</v>
      </c>
      <c r="O43" s="47">
        <f t="shared" si="3"/>
        <v>-1145</v>
      </c>
      <c r="P43" s="47">
        <f t="shared" si="4"/>
        <v>187.32793656000004</v>
      </c>
      <c r="Q43" s="46">
        <f t="shared" si="5"/>
        <v>191.07449529120004</v>
      </c>
      <c r="R43" s="47">
        <f t="shared" si="6"/>
        <v>194.89598519702403</v>
      </c>
      <c r="S43" s="46">
        <f t="shared" si="7"/>
        <v>198.79390490096452</v>
      </c>
      <c r="T43" s="47">
        <f t="shared" si="8"/>
        <v>202.76978299898383</v>
      </c>
      <c r="U43" s="169">
        <f t="shared" si="0"/>
        <v>-0.05070318441334592</v>
      </c>
      <c r="V43" s="40"/>
      <c r="X43" s="40"/>
    </row>
    <row r="44" spans="1:24" ht="15">
      <c r="A44" s="81"/>
      <c r="B44" s="35" t="s">
        <v>64</v>
      </c>
      <c r="C44" s="35" t="s">
        <v>68</v>
      </c>
      <c r="D44" s="37">
        <v>19</v>
      </c>
      <c r="E44" s="35" t="s">
        <v>15</v>
      </c>
      <c r="F44" s="39">
        <v>0.25</v>
      </c>
      <c r="G44" s="37">
        <v>0.36</v>
      </c>
      <c r="H44">
        <v>17.91</v>
      </c>
      <c r="I44" s="165">
        <v>229</v>
      </c>
      <c r="J44" s="40" t="s">
        <v>64</v>
      </c>
      <c r="K44" s="37" t="s">
        <v>68</v>
      </c>
      <c r="L44" s="166">
        <f t="shared" si="1"/>
        <v>31.885200000000005</v>
      </c>
      <c r="M44" s="3">
        <f t="shared" si="2"/>
        <v>2085.5148</v>
      </c>
      <c r="N44" s="41">
        <f>('Assumptions &amp; References'!$B$5)*M44</f>
        <v>625.6544399999999</v>
      </c>
      <c r="O44" s="47">
        <f t="shared" si="3"/>
        <v>-1145</v>
      </c>
      <c r="P44" s="47">
        <f t="shared" si="4"/>
        <v>187.27922904</v>
      </c>
      <c r="Q44" s="46">
        <f t="shared" si="5"/>
        <v>191.02481362080002</v>
      </c>
      <c r="R44" s="47">
        <f t="shared" si="6"/>
        <v>194.845309893216</v>
      </c>
      <c r="S44" s="46">
        <f t="shared" si="7"/>
        <v>198.74221609108034</v>
      </c>
      <c r="T44" s="47">
        <f t="shared" si="8"/>
        <v>202.71706041290196</v>
      </c>
      <c r="U44" s="169">
        <f t="shared" si="0"/>
        <v>-0.05078171332135304</v>
      </c>
      <c r="V44" s="40"/>
      <c r="X44" s="40"/>
    </row>
    <row r="45" spans="1:24" ht="15">
      <c r="A45" s="81"/>
      <c r="B45" s="35" t="s">
        <v>72</v>
      </c>
      <c r="C45" s="35" t="s">
        <v>74</v>
      </c>
      <c r="D45" s="37">
        <v>19</v>
      </c>
      <c r="E45" s="35" t="s">
        <v>16</v>
      </c>
      <c r="F45" s="39">
        <v>0.33</v>
      </c>
      <c r="G45" s="37">
        <v>0.35</v>
      </c>
      <c r="H45">
        <v>19</v>
      </c>
      <c r="I45" s="165">
        <v>263.99</v>
      </c>
      <c r="J45" s="40" t="s">
        <v>72</v>
      </c>
      <c r="K45" s="37" t="s">
        <v>74</v>
      </c>
      <c r="L45" s="166">
        <f t="shared" si="1"/>
        <v>34.261199999999995</v>
      </c>
      <c r="M45" s="3">
        <f t="shared" si="2"/>
        <v>2083.1388</v>
      </c>
      <c r="N45" s="41">
        <f>('Assumptions &amp; References'!$B$5)*M45</f>
        <v>624.94164</v>
      </c>
      <c r="O45" s="47">
        <f t="shared" si="3"/>
        <v>-1319.95</v>
      </c>
      <c r="P45" s="47">
        <f t="shared" si="4"/>
        <v>187.06586424000002</v>
      </c>
      <c r="Q45" s="46">
        <f t="shared" si="5"/>
        <v>190.80718152480003</v>
      </c>
      <c r="R45" s="47">
        <f t="shared" si="6"/>
        <v>194.62332515529604</v>
      </c>
      <c r="S45" s="46">
        <f t="shared" si="7"/>
        <v>198.51579165840195</v>
      </c>
      <c r="T45" s="47">
        <f t="shared" si="8"/>
        <v>202.48610749157</v>
      </c>
      <c r="U45" s="169">
        <f t="shared" si="0"/>
        <v>-0.09251206712275717</v>
      </c>
      <c r="V45" s="40"/>
      <c r="X45" s="40"/>
    </row>
    <row r="46" spans="1:24" ht="15">
      <c r="A46" s="81"/>
      <c r="B46" s="35" t="s">
        <v>72</v>
      </c>
      <c r="C46" s="35" t="s">
        <v>75</v>
      </c>
      <c r="D46" s="37">
        <v>19</v>
      </c>
      <c r="E46" s="35" t="s">
        <v>16</v>
      </c>
      <c r="F46" s="39">
        <v>0.41</v>
      </c>
      <c r="G46" s="37">
        <v>0.5</v>
      </c>
      <c r="H46">
        <v>18</v>
      </c>
      <c r="I46" s="165">
        <v>289.99</v>
      </c>
      <c r="J46" s="40" t="s">
        <v>72</v>
      </c>
      <c r="K46" s="37" t="s">
        <v>75</v>
      </c>
      <c r="L46" s="166">
        <f t="shared" si="1"/>
        <v>33.1644</v>
      </c>
      <c r="M46" s="3">
        <f t="shared" si="2"/>
        <v>2084.2356</v>
      </c>
      <c r="N46" s="41">
        <f>('Assumptions &amp; References'!$B$5)*M46</f>
        <v>625.27068</v>
      </c>
      <c r="O46" s="47">
        <f t="shared" si="3"/>
        <v>-1449.95</v>
      </c>
      <c r="P46" s="47">
        <f t="shared" si="4"/>
        <v>187.16435688</v>
      </c>
      <c r="Q46" s="46">
        <f t="shared" si="5"/>
        <v>190.9076440176</v>
      </c>
      <c r="R46" s="47">
        <f t="shared" si="6"/>
        <v>194.72579689795202</v>
      </c>
      <c r="S46" s="46">
        <f t="shared" si="7"/>
        <v>198.62031283591105</v>
      </c>
      <c r="T46" s="47">
        <f t="shared" si="8"/>
        <v>202.5927190926293</v>
      </c>
      <c r="U46" s="169">
        <f t="shared" si="0"/>
        <v>-0.11814190332184409</v>
      </c>
      <c r="V46" s="40"/>
      <c r="X46" s="40"/>
    </row>
    <row r="47" spans="1:24" ht="15">
      <c r="A47" s="81"/>
      <c r="B47" s="35" t="s">
        <v>72</v>
      </c>
      <c r="C47" s="35" t="s">
        <v>76</v>
      </c>
      <c r="D47" s="37">
        <v>19</v>
      </c>
      <c r="E47" s="35" t="s">
        <v>16</v>
      </c>
      <c r="F47" s="39">
        <v>0.33</v>
      </c>
      <c r="G47" s="37">
        <v>0.43</v>
      </c>
      <c r="H47">
        <v>19.3</v>
      </c>
      <c r="I47" s="165">
        <v>289.99</v>
      </c>
      <c r="J47" s="40" t="s">
        <v>72</v>
      </c>
      <c r="K47" s="37" t="s">
        <v>76</v>
      </c>
      <c r="L47" s="166">
        <f t="shared" si="1"/>
        <v>34.7844</v>
      </c>
      <c r="M47" s="3">
        <f t="shared" si="2"/>
        <v>2082.6156</v>
      </c>
      <c r="N47" s="41">
        <f>('Assumptions &amp; References'!$B$5)*M47</f>
        <v>624.78468</v>
      </c>
      <c r="O47" s="47">
        <f t="shared" si="3"/>
        <v>-1449.95</v>
      </c>
      <c r="P47" s="47">
        <f t="shared" si="4"/>
        <v>187.01888088</v>
      </c>
      <c r="Q47" s="46">
        <f t="shared" si="5"/>
        <v>190.75925849760003</v>
      </c>
      <c r="R47" s="47">
        <f t="shared" si="6"/>
        <v>194.57444366755203</v>
      </c>
      <c r="S47" s="46">
        <f t="shared" si="7"/>
        <v>198.46593254090305</v>
      </c>
      <c r="T47" s="47">
        <f t="shared" si="8"/>
        <v>202.43525119172114</v>
      </c>
      <c r="U47" s="169">
        <f t="shared" si="0"/>
        <v>-0.11835038471656649</v>
      </c>
      <c r="V47" s="40"/>
      <c r="X47" s="40"/>
    </row>
    <row r="48" spans="1:24" ht="15">
      <c r="A48" s="81"/>
      <c r="B48" s="35" t="s">
        <v>72</v>
      </c>
      <c r="C48" s="35" t="s">
        <v>77</v>
      </c>
      <c r="D48" s="37">
        <v>19</v>
      </c>
      <c r="E48" s="35" t="s">
        <v>15</v>
      </c>
      <c r="F48" s="39">
        <v>0.38</v>
      </c>
      <c r="G48" s="37">
        <v>0.43</v>
      </c>
      <c r="H48">
        <v>17.3</v>
      </c>
      <c r="I48" s="165">
        <v>309.99</v>
      </c>
      <c r="J48" s="40" t="s">
        <v>72</v>
      </c>
      <c r="K48" s="37" t="s">
        <v>77</v>
      </c>
      <c r="L48" s="166">
        <f t="shared" si="1"/>
        <v>31.7664</v>
      </c>
      <c r="M48" s="3">
        <f t="shared" si="2"/>
        <v>2085.6336</v>
      </c>
      <c r="N48" s="41">
        <f>('Assumptions &amp; References'!$B$5)*M48</f>
        <v>625.69008</v>
      </c>
      <c r="O48" s="47">
        <f t="shared" si="3"/>
        <v>-1549.95</v>
      </c>
      <c r="P48" s="47">
        <f t="shared" si="4"/>
        <v>187.28989728000002</v>
      </c>
      <c r="Q48" s="46">
        <f t="shared" si="5"/>
        <v>191.03569522560002</v>
      </c>
      <c r="R48" s="47">
        <f t="shared" si="6"/>
        <v>194.85640913011204</v>
      </c>
      <c r="S48" s="46">
        <f t="shared" si="7"/>
        <v>198.75353731271426</v>
      </c>
      <c r="T48" s="47">
        <f t="shared" si="8"/>
        <v>202.72860805896858</v>
      </c>
      <c r="U48" s="169">
        <f t="shared" si="0"/>
        <v>-0.13556919057680117</v>
      </c>
      <c r="V48" s="40"/>
      <c r="X48" s="40"/>
    </row>
    <row r="49" spans="1:22" ht="15">
      <c r="A49" s="80" t="s">
        <v>148</v>
      </c>
      <c r="B49" s="34"/>
      <c r="C49" s="34"/>
      <c r="D49" s="36"/>
      <c r="E49" s="34"/>
      <c r="F49" s="38"/>
      <c r="G49" s="36"/>
      <c r="H49" s="4"/>
      <c r="I49" s="164"/>
      <c r="J49" s="18"/>
      <c r="K49" s="36"/>
      <c r="L49" s="167"/>
      <c r="M49" s="43"/>
      <c r="N49" s="42"/>
      <c r="O49" s="48"/>
      <c r="P49" s="48"/>
      <c r="Q49" s="45"/>
      <c r="R49" s="48"/>
      <c r="S49" s="45"/>
      <c r="T49" s="48"/>
      <c r="U49" s="170"/>
      <c r="V49" s="18" t="s">
        <v>148</v>
      </c>
    </row>
    <row r="50" spans="1:24" ht="15">
      <c r="A50" s="81"/>
      <c r="B50" s="35" t="s">
        <v>7</v>
      </c>
      <c r="C50" s="35" t="s">
        <v>11</v>
      </c>
      <c r="D50" s="37">
        <v>20</v>
      </c>
      <c r="E50" s="35" t="s">
        <v>17</v>
      </c>
      <c r="F50" s="39">
        <v>0.18</v>
      </c>
      <c r="G50" s="37">
        <v>0.34</v>
      </c>
      <c r="H50">
        <v>23.86</v>
      </c>
      <c r="I50" s="165">
        <v>149</v>
      </c>
      <c r="J50" s="40" t="s">
        <v>7</v>
      </c>
      <c r="K50" s="37" t="s">
        <v>11</v>
      </c>
      <c r="L50" s="166">
        <f aca="true" t="shared" si="9" ref="L50:L59">((F50*$B$9+G50*$B$8+H50*$B$7)*$B$12+(F50*24*(365-$B$12)))/1000</f>
        <v>41.3976</v>
      </c>
      <c r="M50" s="3">
        <f aca="true" t="shared" si="10" ref="M50:M59">$B$17-L50</f>
        <v>2076.0024000000003</v>
      </c>
      <c r="N50" s="41">
        <f>('Assumptions &amp; References'!$B$5)*M50</f>
        <v>622.8007200000001</v>
      </c>
      <c r="O50" s="47">
        <f aca="true" t="shared" si="11" ref="O50:O59">-I50*$B$11</f>
        <v>-745</v>
      </c>
      <c r="P50" s="47">
        <f aca="true" t="shared" si="12" ref="P50:P59">M50*$F$9</f>
        <v>186.42501552000004</v>
      </c>
      <c r="Q50" s="46">
        <f aca="true" t="shared" si="13" ref="Q50:Q59">M50*$F$10</f>
        <v>190.15351583040004</v>
      </c>
      <c r="R50" s="47">
        <f aca="true" t="shared" si="14" ref="R50:R59">M50*$F$11</f>
        <v>193.95658614700804</v>
      </c>
      <c r="S50" s="46">
        <f aca="true" t="shared" si="15" ref="S50:S59">M50*$F$12</f>
        <v>197.8357178699482</v>
      </c>
      <c r="T50" s="47">
        <f aca="true" t="shared" si="16" ref="T50:T59">M50*$F$13</f>
        <v>201.79243222734718</v>
      </c>
      <c r="U50" s="169">
        <f t="shared" si="0"/>
        <v>0.09364287883399616</v>
      </c>
      <c r="V50" s="40"/>
      <c r="X50" s="40"/>
    </row>
    <row r="51" spans="1:24" ht="15">
      <c r="A51" s="81"/>
      <c r="B51" s="35" t="s">
        <v>23</v>
      </c>
      <c r="C51" s="35" t="s">
        <v>36</v>
      </c>
      <c r="D51" s="37">
        <v>20</v>
      </c>
      <c r="E51" s="35" t="s">
        <v>21</v>
      </c>
      <c r="F51" s="39">
        <v>0.49</v>
      </c>
      <c r="G51" s="37">
        <v>0.54</v>
      </c>
      <c r="H51">
        <v>26.5</v>
      </c>
      <c r="I51" s="165">
        <v>179</v>
      </c>
      <c r="J51" s="40" t="s">
        <v>23</v>
      </c>
      <c r="K51" s="37" t="s">
        <v>36</v>
      </c>
      <c r="L51" s="166">
        <f t="shared" si="9"/>
        <v>48.0012</v>
      </c>
      <c r="M51" s="3">
        <f t="shared" si="10"/>
        <v>2069.3988</v>
      </c>
      <c r="N51" s="41">
        <f>('Assumptions &amp; References'!$B$5)*M51</f>
        <v>620.8196399999999</v>
      </c>
      <c r="O51" s="47">
        <f t="shared" si="11"/>
        <v>-895</v>
      </c>
      <c r="P51" s="47">
        <f t="shared" si="12"/>
        <v>185.83201224</v>
      </c>
      <c r="Q51" s="46">
        <f t="shared" si="13"/>
        <v>189.54865248480002</v>
      </c>
      <c r="R51" s="47">
        <f t="shared" si="14"/>
        <v>193.339625534496</v>
      </c>
      <c r="S51" s="46">
        <f t="shared" si="15"/>
        <v>197.20641804518593</v>
      </c>
      <c r="T51" s="47">
        <f t="shared" si="16"/>
        <v>201.15054640608966</v>
      </c>
      <c r="U51" s="169">
        <f t="shared" si="0"/>
        <v>0.02603217666535641</v>
      </c>
      <c r="V51" s="40"/>
      <c r="X51" s="40"/>
    </row>
    <row r="52" spans="1:24" ht="15">
      <c r="A52" s="81"/>
      <c r="B52" s="35" t="s">
        <v>23</v>
      </c>
      <c r="C52" s="35" t="s">
        <v>37</v>
      </c>
      <c r="D52" s="37">
        <v>20</v>
      </c>
      <c r="E52" s="35" t="s">
        <v>17</v>
      </c>
      <c r="F52" s="39">
        <v>0.38</v>
      </c>
      <c r="G52" s="37">
        <v>0.43</v>
      </c>
      <c r="H52">
        <v>21.76</v>
      </c>
      <c r="I52" s="165">
        <v>210</v>
      </c>
      <c r="J52" s="40" t="s">
        <v>23</v>
      </c>
      <c r="K52" s="37" t="s">
        <v>37</v>
      </c>
      <c r="L52" s="166">
        <f t="shared" si="9"/>
        <v>39.25920000000001</v>
      </c>
      <c r="M52" s="3">
        <f t="shared" si="10"/>
        <v>2078.1408</v>
      </c>
      <c r="N52" s="41">
        <f>('Assumptions &amp; References'!$B$5)*M52</f>
        <v>623.44224</v>
      </c>
      <c r="O52" s="47">
        <f t="shared" si="11"/>
        <v>-1050</v>
      </c>
      <c r="P52" s="47">
        <f t="shared" si="12"/>
        <v>186.61704384</v>
      </c>
      <c r="Q52" s="46">
        <f t="shared" si="13"/>
        <v>190.34938471680005</v>
      </c>
      <c r="R52" s="47">
        <f t="shared" si="14"/>
        <v>194.15637241113603</v>
      </c>
      <c r="S52" s="46">
        <f t="shared" si="15"/>
        <v>198.03949985935876</v>
      </c>
      <c r="T52" s="47">
        <f t="shared" si="16"/>
        <v>202.00028985654595</v>
      </c>
      <c r="U52" s="169">
        <f t="shared" si="0"/>
        <v>-0.025143629075983553</v>
      </c>
      <c r="V52" s="40"/>
      <c r="X52" s="40"/>
    </row>
    <row r="53" spans="1:24" ht="15">
      <c r="A53" s="81"/>
      <c r="B53" s="35" t="s">
        <v>23</v>
      </c>
      <c r="C53" s="35" t="s">
        <v>55</v>
      </c>
      <c r="D53" s="37">
        <v>20</v>
      </c>
      <c r="E53" s="35" t="s">
        <v>17</v>
      </c>
      <c r="F53" s="39">
        <v>0.35</v>
      </c>
      <c r="G53" s="37">
        <v>0.38</v>
      </c>
      <c r="H53">
        <v>19.9</v>
      </c>
      <c r="I53" s="165">
        <v>210</v>
      </c>
      <c r="J53" s="40" t="s">
        <v>23</v>
      </c>
      <c r="K53" s="37" t="s">
        <v>55</v>
      </c>
      <c r="L53" s="166">
        <f t="shared" si="9"/>
        <v>35.917199999999994</v>
      </c>
      <c r="M53" s="3">
        <f t="shared" si="10"/>
        <v>2081.4828</v>
      </c>
      <c r="N53" s="41">
        <f>('Assumptions &amp; References'!$B$5)*M53</f>
        <v>624.44484</v>
      </c>
      <c r="O53" s="47">
        <f t="shared" si="11"/>
        <v>-1050</v>
      </c>
      <c r="P53" s="47">
        <f t="shared" si="12"/>
        <v>186.91715544000002</v>
      </c>
      <c r="Q53" s="46">
        <f t="shared" si="13"/>
        <v>190.65549854880004</v>
      </c>
      <c r="R53" s="47">
        <f t="shared" si="14"/>
        <v>194.46860851977604</v>
      </c>
      <c r="S53" s="46">
        <f t="shared" si="15"/>
        <v>198.35798069017156</v>
      </c>
      <c r="T53" s="47">
        <f t="shared" si="16"/>
        <v>202.32514030397502</v>
      </c>
      <c r="U53" s="169">
        <f t="shared" si="0"/>
        <v>-0.024636537376224035</v>
      </c>
      <c r="V53" s="40"/>
      <c r="X53" s="40"/>
    </row>
    <row r="54" spans="1:24" ht="15">
      <c r="A54" s="81"/>
      <c r="B54" s="35" t="s">
        <v>23</v>
      </c>
      <c r="C54" s="35" t="s">
        <v>38</v>
      </c>
      <c r="D54" s="37">
        <v>20</v>
      </c>
      <c r="E54" s="35" t="s">
        <v>17</v>
      </c>
      <c r="F54" s="39">
        <v>0.32</v>
      </c>
      <c r="G54" s="37">
        <v>0.44</v>
      </c>
      <c r="H54">
        <v>22.29</v>
      </c>
      <c r="I54" s="165">
        <v>139</v>
      </c>
      <c r="J54" s="40" t="s">
        <v>23</v>
      </c>
      <c r="K54" s="37" t="s">
        <v>38</v>
      </c>
      <c r="L54" s="166">
        <f t="shared" si="9"/>
        <v>39.7416</v>
      </c>
      <c r="M54" s="3">
        <f t="shared" si="10"/>
        <v>2077.6584000000003</v>
      </c>
      <c r="N54" s="41">
        <f>('Assumptions &amp; References'!$B$5)*M54</f>
        <v>623.2975200000001</v>
      </c>
      <c r="O54" s="47">
        <f t="shared" si="11"/>
        <v>-695</v>
      </c>
      <c r="P54" s="47">
        <f t="shared" si="12"/>
        <v>186.57372432000003</v>
      </c>
      <c r="Q54" s="46">
        <f t="shared" si="13"/>
        <v>190.30519880640006</v>
      </c>
      <c r="R54" s="47">
        <f t="shared" si="14"/>
        <v>194.11130278252804</v>
      </c>
      <c r="S54" s="46">
        <f t="shared" si="15"/>
        <v>197.9935288381786</v>
      </c>
      <c r="T54" s="47">
        <f t="shared" si="16"/>
        <v>201.9533994149422</v>
      </c>
      <c r="U54" s="169">
        <f t="shared" si="0"/>
        <v>0.12107656890713425</v>
      </c>
      <c r="V54" s="40"/>
      <c r="X54" s="40"/>
    </row>
    <row r="55" spans="1:24" ht="15">
      <c r="A55" s="81"/>
      <c r="B55" s="35" t="s">
        <v>23</v>
      </c>
      <c r="C55" s="35" t="s">
        <v>39</v>
      </c>
      <c r="D55" s="37">
        <v>20</v>
      </c>
      <c r="E55" s="35" t="s">
        <v>17</v>
      </c>
      <c r="F55" s="39">
        <v>0.17</v>
      </c>
      <c r="G55" s="37">
        <v>0.24</v>
      </c>
      <c r="H55">
        <v>20.4</v>
      </c>
      <c r="I55" s="165">
        <v>250</v>
      </c>
      <c r="J55" s="40" t="s">
        <v>23</v>
      </c>
      <c r="K55" s="37" t="s">
        <v>39</v>
      </c>
      <c r="L55" s="166">
        <f t="shared" si="9"/>
        <v>35.492399999999996</v>
      </c>
      <c r="M55" s="3">
        <f t="shared" si="10"/>
        <v>2081.9076</v>
      </c>
      <c r="N55" s="41">
        <f>('Assumptions &amp; References'!$B$5)*M55</f>
        <v>624.57228</v>
      </c>
      <c r="O55" s="47">
        <f t="shared" si="11"/>
        <v>-1250</v>
      </c>
      <c r="P55" s="47">
        <f t="shared" si="12"/>
        <v>186.95530248</v>
      </c>
      <c r="Q55" s="46">
        <f t="shared" si="13"/>
        <v>190.69440852960003</v>
      </c>
      <c r="R55" s="47">
        <f t="shared" si="14"/>
        <v>194.50829670019203</v>
      </c>
      <c r="S55" s="46">
        <f t="shared" si="15"/>
        <v>198.39846263419585</v>
      </c>
      <c r="T55" s="47">
        <f t="shared" si="16"/>
        <v>202.36643188687978</v>
      </c>
      <c r="U55" s="169">
        <f t="shared" si="0"/>
        <v>-0.07718570841361573</v>
      </c>
      <c r="V55" s="40"/>
      <c r="X55" s="40"/>
    </row>
    <row r="56" spans="1:24" ht="15">
      <c r="A56" s="81"/>
      <c r="B56" s="35" t="s">
        <v>23</v>
      </c>
      <c r="C56" s="35" t="s">
        <v>40</v>
      </c>
      <c r="D56" s="37">
        <v>20</v>
      </c>
      <c r="E56" s="35" t="s">
        <v>17</v>
      </c>
      <c r="F56" s="39">
        <v>0.33</v>
      </c>
      <c r="G56" s="37">
        <v>0.41</v>
      </c>
      <c r="H56">
        <v>19.56</v>
      </c>
      <c r="I56" s="165">
        <v>179</v>
      </c>
      <c r="J56" s="40" t="s">
        <v>23</v>
      </c>
      <c r="K56" s="37" t="s">
        <v>40</v>
      </c>
      <c r="L56" s="166">
        <f t="shared" si="9"/>
        <v>35.21639999999999</v>
      </c>
      <c r="M56" s="3">
        <f t="shared" si="10"/>
        <v>2082.1836000000003</v>
      </c>
      <c r="N56" s="41">
        <f>('Assumptions &amp; References'!$B$5)*M56</f>
        <v>624.6550800000001</v>
      </c>
      <c r="O56" s="47">
        <f t="shared" si="11"/>
        <v>-895</v>
      </c>
      <c r="P56" s="47">
        <f t="shared" si="12"/>
        <v>186.98008728000005</v>
      </c>
      <c r="Q56" s="46">
        <f t="shared" si="13"/>
        <v>190.71968902560005</v>
      </c>
      <c r="R56" s="47">
        <f t="shared" si="14"/>
        <v>194.53408280611205</v>
      </c>
      <c r="S56" s="46">
        <f t="shared" si="15"/>
        <v>198.4247644622343</v>
      </c>
      <c r="T56" s="47">
        <f t="shared" si="16"/>
        <v>202.39325975147898</v>
      </c>
      <c r="U56" s="169">
        <f t="shared" si="0"/>
        <v>0.02815058517490213</v>
      </c>
      <c r="V56" s="40"/>
      <c r="X56" s="40"/>
    </row>
    <row r="57" spans="1:24" ht="15">
      <c r="A57" s="81"/>
      <c r="B57" s="35" t="s">
        <v>23</v>
      </c>
      <c r="C57" s="35" t="s">
        <v>41</v>
      </c>
      <c r="D57" s="37">
        <v>20</v>
      </c>
      <c r="E57" s="35" t="s">
        <v>17</v>
      </c>
      <c r="F57" s="39">
        <v>0.42</v>
      </c>
      <c r="G57" s="37">
        <v>0.49</v>
      </c>
      <c r="H57">
        <v>20.6</v>
      </c>
      <c r="I57" s="165">
        <v>179</v>
      </c>
      <c r="J57" s="40" t="s">
        <v>23</v>
      </c>
      <c r="K57" s="37" t="s">
        <v>41</v>
      </c>
      <c r="L57" s="166">
        <f t="shared" si="9"/>
        <v>37.59840000000001</v>
      </c>
      <c r="M57" s="3">
        <f t="shared" si="10"/>
        <v>2079.8016000000002</v>
      </c>
      <c r="N57" s="41">
        <f>('Assumptions &amp; References'!$B$5)*M57</f>
        <v>623.9404800000001</v>
      </c>
      <c r="O57" s="47">
        <f t="shared" si="11"/>
        <v>-895</v>
      </c>
      <c r="P57" s="47">
        <f t="shared" si="12"/>
        <v>186.76618368000004</v>
      </c>
      <c r="Q57" s="46">
        <f t="shared" si="13"/>
        <v>190.50150735360003</v>
      </c>
      <c r="R57" s="47">
        <f t="shared" si="14"/>
        <v>194.31153750067205</v>
      </c>
      <c r="S57" s="46">
        <f t="shared" si="15"/>
        <v>198.19776825068547</v>
      </c>
      <c r="T57" s="47">
        <f t="shared" si="16"/>
        <v>202.1617236156992</v>
      </c>
      <c r="U57" s="169">
        <f t="shared" si="0"/>
        <v>0.027756329374488128</v>
      </c>
      <c r="V57" s="40"/>
      <c r="X57" s="40"/>
    </row>
    <row r="58" spans="1:24" ht="15">
      <c r="A58" s="81"/>
      <c r="B58" s="35" t="s">
        <v>59</v>
      </c>
      <c r="C58" s="35" t="s">
        <v>62</v>
      </c>
      <c r="D58" s="37">
        <v>20</v>
      </c>
      <c r="E58" s="35" t="s">
        <v>17</v>
      </c>
      <c r="F58" s="39">
        <v>0.68</v>
      </c>
      <c r="G58" s="37">
        <v>0.72</v>
      </c>
      <c r="H58">
        <v>20.6</v>
      </c>
      <c r="I58" s="165">
        <v>249</v>
      </c>
      <c r="J58" s="40" t="s">
        <v>59</v>
      </c>
      <c r="K58" s="37" t="s">
        <v>62</v>
      </c>
      <c r="L58" s="166">
        <f t="shared" si="9"/>
        <v>39.432</v>
      </c>
      <c r="M58" s="3">
        <f t="shared" si="10"/>
        <v>2077.9680000000003</v>
      </c>
      <c r="N58" s="41">
        <f>('Assumptions &amp; References'!$B$5)*M58</f>
        <v>623.3904000000001</v>
      </c>
      <c r="O58" s="47">
        <f t="shared" si="11"/>
        <v>-1245</v>
      </c>
      <c r="P58" s="47">
        <f t="shared" si="12"/>
        <v>186.60152640000004</v>
      </c>
      <c r="Q58" s="46">
        <f t="shared" si="13"/>
        <v>190.33355692800006</v>
      </c>
      <c r="R58" s="47">
        <f t="shared" si="14"/>
        <v>194.14022806656004</v>
      </c>
      <c r="S58" s="46">
        <f t="shared" si="15"/>
        <v>198.02303262789124</v>
      </c>
      <c r="T58" s="47">
        <f t="shared" si="16"/>
        <v>201.9834932804491</v>
      </c>
      <c r="U58" s="169">
        <f t="shared" si="0"/>
        <v>-0.07657565443478953</v>
      </c>
      <c r="V58" s="40"/>
      <c r="X58" s="40"/>
    </row>
    <row r="59" spans="1:24" ht="15">
      <c r="A59" s="81"/>
      <c r="B59" s="35" t="s">
        <v>72</v>
      </c>
      <c r="C59" s="35" t="s">
        <v>78</v>
      </c>
      <c r="D59" s="37">
        <v>20</v>
      </c>
      <c r="E59" s="35" t="s">
        <v>17</v>
      </c>
      <c r="F59" s="39">
        <v>0.29</v>
      </c>
      <c r="G59" s="37">
        <v>0.37</v>
      </c>
      <c r="H59">
        <v>20.9</v>
      </c>
      <c r="I59" s="165">
        <v>169.9</v>
      </c>
      <c r="J59" s="40" t="s">
        <v>72</v>
      </c>
      <c r="K59" s="37" t="s">
        <v>78</v>
      </c>
      <c r="L59" s="166">
        <f t="shared" si="9"/>
        <v>37.1844</v>
      </c>
      <c r="M59" s="3">
        <f t="shared" si="10"/>
        <v>2080.2156</v>
      </c>
      <c r="N59" s="41">
        <f>('Assumptions &amp; References'!$B$5)*M59</f>
        <v>624.06468</v>
      </c>
      <c r="O59" s="47">
        <f t="shared" si="11"/>
        <v>-849.5</v>
      </c>
      <c r="P59" s="47">
        <f t="shared" si="12"/>
        <v>186.80336088</v>
      </c>
      <c r="Q59" s="46">
        <f t="shared" si="13"/>
        <v>190.53942809760002</v>
      </c>
      <c r="R59" s="47">
        <f t="shared" si="14"/>
        <v>194.35021665955202</v>
      </c>
      <c r="S59" s="46">
        <f t="shared" si="15"/>
        <v>198.23722099274306</v>
      </c>
      <c r="T59" s="47">
        <f t="shared" si="16"/>
        <v>202.20196541259793</v>
      </c>
      <c r="U59" s="169">
        <f t="shared" si="0"/>
        <v>0.046058558874046494</v>
      </c>
      <c r="V59" s="40"/>
      <c r="X59" s="40"/>
    </row>
    <row r="60" spans="1:22" ht="15">
      <c r="A60" s="80" t="s">
        <v>149</v>
      </c>
      <c r="B60" s="34"/>
      <c r="C60" s="34"/>
      <c r="D60" s="36"/>
      <c r="E60" s="34"/>
      <c r="F60" s="38"/>
      <c r="G60" s="36"/>
      <c r="H60" s="4"/>
      <c r="I60" s="164"/>
      <c r="J60" s="18"/>
      <c r="K60" s="36"/>
      <c r="L60" s="167"/>
      <c r="M60" s="43"/>
      <c r="N60" s="42"/>
      <c r="O60" s="48"/>
      <c r="P60" s="48"/>
      <c r="Q60" s="45"/>
      <c r="R60" s="48"/>
      <c r="S60" s="45"/>
      <c r="T60" s="48"/>
      <c r="U60" s="170"/>
      <c r="V60" s="18" t="s">
        <v>149</v>
      </c>
    </row>
    <row r="61" spans="1:24" ht="15">
      <c r="A61" s="81"/>
      <c r="B61" s="35" t="s">
        <v>7</v>
      </c>
      <c r="C61" s="35" t="s">
        <v>12</v>
      </c>
      <c r="D61" s="37">
        <v>21.5</v>
      </c>
      <c r="E61" s="35" t="s">
        <v>18</v>
      </c>
      <c r="F61" s="39">
        <v>0.66</v>
      </c>
      <c r="G61" s="37">
        <v>0.87</v>
      </c>
      <c r="H61">
        <v>29.26</v>
      </c>
      <c r="I61" s="165">
        <v>189</v>
      </c>
      <c r="J61" s="40" t="s">
        <v>7</v>
      </c>
      <c r="K61" s="37" t="s">
        <v>12</v>
      </c>
      <c r="L61" s="166">
        <f>((F61*$B$9+G61*$B$8+H61*$B$7)*$B$12+(F61*24*(365-$B$12)))/1000</f>
        <v>53.88000000000001</v>
      </c>
      <c r="M61" s="3">
        <f>$B$17-L61</f>
        <v>2063.52</v>
      </c>
      <c r="N61" s="41">
        <f>('Assumptions &amp; References'!$B$5)*M61</f>
        <v>619.0559999999999</v>
      </c>
      <c r="O61" s="47">
        <f>-I61*$B$11</f>
        <v>-945</v>
      </c>
      <c r="P61" s="47">
        <f>M61*$F$9</f>
        <v>185.30409600000002</v>
      </c>
      <c r="Q61" s="46">
        <f>M61*$F$10</f>
        <v>189.01017792000002</v>
      </c>
      <c r="R61" s="47">
        <f>M61*$F$11</f>
        <v>192.79038147840004</v>
      </c>
      <c r="S61" s="46">
        <f>M61*$F$12</f>
        <v>196.646189107968</v>
      </c>
      <c r="T61" s="47">
        <f>M61*$F$13</f>
        <v>200.5791128901274</v>
      </c>
      <c r="U61" s="169">
        <f t="shared" si="0"/>
        <v>0.00669859336184187</v>
      </c>
      <c r="V61" s="40"/>
      <c r="X61" s="40"/>
    </row>
    <row r="62" spans="1:24" ht="15">
      <c r="A62" s="81"/>
      <c r="B62" s="35" t="s">
        <v>23</v>
      </c>
      <c r="C62" s="35" t="s">
        <v>42</v>
      </c>
      <c r="D62" s="37">
        <v>21.5</v>
      </c>
      <c r="E62" s="35" t="s">
        <v>18</v>
      </c>
      <c r="F62" s="39">
        <v>0.34</v>
      </c>
      <c r="G62" s="37">
        <v>0.4</v>
      </c>
      <c r="H62">
        <v>22.7</v>
      </c>
      <c r="I62" s="165">
        <v>290</v>
      </c>
      <c r="J62" s="40" t="s">
        <v>23</v>
      </c>
      <c r="K62" s="37" t="s">
        <v>42</v>
      </c>
      <c r="L62" s="166">
        <f>((F62*$B$9+G62*$B$8+H62*$B$7)*$B$12+(F62*24*(365-$B$12)))/1000</f>
        <v>40.55760000000001</v>
      </c>
      <c r="M62" s="3">
        <f>$B$17-L62</f>
        <v>2076.8424</v>
      </c>
      <c r="N62" s="41">
        <f>('Assumptions &amp; References'!$B$5)*M62</f>
        <v>623.05272</v>
      </c>
      <c r="O62" s="47">
        <f>-I62*$B$11</f>
        <v>-1450</v>
      </c>
      <c r="P62" s="47">
        <f>M62*$F$9</f>
        <v>186.50044752000002</v>
      </c>
      <c r="Q62" s="46">
        <f>M62*$F$10</f>
        <v>190.23045647040001</v>
      </c>
      <c r="R62" s="47">
        <f>M62*$F$11</f>
        <v>194.03506559980804</v>
      </c>
      <c r="S62" s="46">
        <f>M62*$F$12</f>
        <v>197.91576691180418</v>
      </c>
      <c r="T62" s="47">
        <f>M62*$F$13</f>
        <v>201.8740822500403</v>
      </c>
      <c r="U62" s="169">
        <f t="shared" si="0"/>
        <v>-0.11910326359520876</v>
      </c>
      <c r="V62" s="40"/>
      <c r="X62" s="40"/>
    </row>
    <row r="63" spans="1:24" ht="15">
      <c r="A63" s="81"/>
      <c r="B63" s="35" t="s">
        <v>23</v>
      </c>
      <c r="C63" s="35" t="s">
        <v>43</v>
      </c>
      <c r="D63" s="37">
        <v>21.5</v>
      </c>
      <c r="E63" s="35" t="s">
        <v>18</v>
      </c>
      <c r="F63" s="39">
        <v>0.56</v>
      </c>
      <c r="G63" s="37">
        <v>0.62</v>
      </c>
      <c r="H63">
        <v>21.85</v>
      </c>
      <c r="I63" s="165">
        <v>549</v>
      </c>
      <c r="J63" s="40" t="s">
        <v>23</v>
      </c>
      <c r="K63" s="37" t="s">
        <v>43</v>
      </c>
      <c r="L63" s="166">
        <f>((F63*$B$9+G63*$B$8+H63*$B$7)*$B$12+(F63*24*(365-$B$12)))/1000</f>
        <v>40.687200000000004</v>
      </c>
      <c r="M63" s="3">
        <f>$B$17-L63</f>
        <v>2076.7128000000002</v>
      </c>
      <c r="N63" s="41">
        <f>('Assumptions &amp; References'!$B$5)*M63</f>
        <v>623.0138400000001</v>
      </c>
      <c r="O63" s="47">
        <f>-I63*$B$11</f>
        <v>-2745</v>
      </c>
      <c r="P63" s="47">
        <f>M63*$F$9</f>
        <v>186.48880944000004</v>
      </c>
      <c r="Q63" s="46">
        <f>M63*$F$10</f>
        <v>190.21858562880004</v>
      </c>
      <c r="R63" s="47">
        <f>M63*$F$11</f>
        <v>194.02295734137604</v>
      </c>
      <c r="S63" s="46">
        <f>M63*$F$12</f>
        <v>197.90341648820356</v>
      </c>
      <c r="T63" s="47">
        <f>M63*$F$13</f>
        <v>201.86148481796766</v>
      </c>
      <c r="U63" s="169"/>
      <c r="V63" s="40"/>
      <c r="X63" s="40"/>
    </row>
    <row r="64" spans="1:24" ht="15">
      <c r="A64" s="81"/>
      <c r="B64" s="35" t="s">
        <v>72</v>
      </c>
      <c r="C64" s="35" t="s">
        <v>79</v>
      </c>
      <c r="D64" s="37">
        <v>21.5</v>
      </c>
      <c r="E64" s="35" t="s">
        <v>18</v>
      </c>
      <c r="F64" s="39">
        <v>0.44</v>
      </c>
      <c r="G64" s="37">
        <v>0.88</v>
      </c>
      <c r="H64">
        <v>30.57</v>
      </c>
      <c r="I64" s="165">
        <v>189.9</v>
      </c>
      <c r="J64" s="40" t="s">
        <v>72</v>
      </c>
      <c r="K64" s="37" t="s">
        <v>79</v>
      </c>
      <c r="L64" s="166">
        <f>((F64*$B$9+G64*$B$8+H64*$B$7)*$B$12+(F64*24*(365-$B$12)))/1000</f>
        <v>54.5784</v>
      </c>
      <c r="M64" s="3">
        <f>$B$17-L64</f>
        <v>2062.8216</v>
      </c>
      <c r="N64" s="41">
        <f>('Assumptions &amp; References'!$B$5)*M64</f>
        <v>618.84648</v>
      </c>
      <c r="O64" s="47">
        <f>-I64*$B$11</f>
        <v>-949.5</v>
      </c>
      <c r="P64" s="47">
        <f>M64*$F$9</f>
        <v>185.24137968000002</v>
      </c>
      <c r="Q64" s="46">
        <f>M64*$F$10</f>
        <v>188.94620727360004</v>
      </c>
      <c r="R64" s="47">
        <f>M64*$F$11</f>
        <v>192.72513141907206</v>
      </c>
      <c r="S64" s="46">
        <f>M64*$F$12</f>
        <v>196.57963404745348</v>
      </c>
      <c r="T64" s="47">
        <f>M64*$F$13</f>
        <v>200.51122672840256</v>
      </c>
      <c r="U64" s="169">
        <f t="shared" si="0"/>
        <v>0.00500803381832786</v>
      </c>
      <c r="V64" s="40"/>
      <c r="X64" s="40"/>
    </row>
    <row r="65" spans="1:24" ht="15">
      <c r="A65" s="81"/>
      <c r="B65" s="35" t="s">
        <v>72</v>
      </c>
      <c r="C65" s="35" t="s">
        <v>80</v>
      </c>
      <c r="D65" s="37">
        <v>21.5</v>
      </c>
      <c r="E65" s="35" t="s">
        <v>21</v>
      </c>
      <c r="F65" s="39">
        <v>0.42</v>
      </c>
      <c r="G65" s="37">
        <v>0.44</v>
      </c>
      <c r="H65">
        <v>20.9</v>
      </c>
      <c r="I65" s="165">
        <v>285.99</v>
      </c>
      <c r="J65" s="40" t="s">
        <v>72</v>
      </c>
      <c r="K65" s="37" t="s">
        <v>80</v>
      </c>
      <c r="L65" s="166">
        <f>((F65*$B$9+G65*$B$8+H65*$B$7)*$B$12+(F65*24*(365-$B$12)))/1000</f>
        <v>38.090399999999995</v>
      </c>
      <c r="M65" s="3">
        <f>$B$17-L65</f>
        <v>2079.3096</v>
      </c>
      <c r="N65" s="41">
        <f>('Assumptions &amp; References'!$B$5)*M65</f>
        <v>623.79288</v>
      </c>
      <c r="O65" s="47">
        <f>-I65*$B$11</f>
        <v>-1429.95</v>
      </c>
      <c r="P65" s="47">
        <f>M65*$F$9</f>
        <v>186.72200208</v>
      </c>
      <c r="Q65" s="46">
        <f>M65*$F$10</f>
        <v>190.45644212160002</v>
      </c>
      <c r="R65" s="47">
        <f>M65*$F$11</f>
        <v>194.26557096403204</v>
      </c>
      <c r="S65" s="46">
        <f>M65*$F$12</f>
        <v>198.15088238331268</v>
      </c>
      <c r="T65" s="47">
        <f>M65*$F$13</f>
        <v>202.11390003097893</v>
      </c>
      <c r="U65" s="169">
        <f t="shared" si="0"/>
        <v>-0.11504303195066141</v>
      </c>
      <c r="V65" s="40"/>
      <c r="X65" s="40"/>
    </row>
    <row r="66" spans="1:22" ht="15">
      <c r="A66" s="80" t="s">
        <v>150</v>
      </c>
      <c r="B66" s="34"/>
      <c r="C66" s="34"/>
      <c r="D66" s="36"/>
      <c r="E66" s="34"/>
      <c r="F66" s="38"/>
      <c r="G66" s="36"/>
      <c r="H66" s="4"/>
      <c r="I66" s="164"/>
      <c r="J66" s="18"/>
      <c r="K66" s="36"/>
      <c r="L66" s="167"/>
      <c r="M66" s="43"/>
      <c r="N66" s="42"/>
      <c r="O66" s="48"/>
      <c r="P66" s="48"/>
      <c r="Q66" s="45"/>
      <c r="R66" s="48"/>
      <c r="S66" s="45"/>
      <c r="T66" s="48"/>
      <c r="U66" s="170"/>
      <c r="V66" s="18" t="s">
        <v>150</v>
      </c>
    </row>
    <row r="67" spans="1:22" ht="15">
      <c r="A67" s="81"/>
      <c r="B67" s="35" t="s">
        <v>7</v>
      </c>
      <c r="C67" s="35" t="s">
        <v>19</v>
      </c>
      <c r="D67" s="37">
        <v>22</v>
      </c>
      <c r="E67" s="35" t="s">
        <v>21</v>
      </c>
      <c r="F67" s="39">
        <v>0.23</v>
      </c>
      <c r="G67" s="37">
        <v>0.39</v>
      </c>
      <c r="H67">
        <v>23.53</v>
      </c>
      <c r="I67" s="165">
        <v>179</v>
      </c>
      <c r="J67" s="40" t="s">
        <v>7</v>
      </c>
      <c r="K67" s="37" t="s">
        <v>19</v>
      </c>
      <c r="L67" s="166">
        <f aca="true" t="shared" si="17" ref="L67:L78">((F67*$B$9+G67*$B$8+H67*$B$7)*$B$12+(F67*24*(365-$B$12)))/1000</f>
        <v>41.197199999999995</v>
      </c>
      <c r="M67" s="3">
        <f aca="true" t="shared" si="18" ref="M67:M78">$B$17-L67</f>
        <v>2076.2028</v>
      </c>
      <c r="N67" s="41">
        <f>('Assumptions &amp; References'!$B$5)*M67</f>
        <v>622.8608399999999</v>
      </c>
      <c r="O67" s="47">
        <f aca="true" t="shared" si="19" ref="O67:O78">-I67*$B$11</f>
        <v>-895</v>
      </c>
      <c r="P67" s="47">
        <f aca="true" t="shared" si="20" ref="P67:P78">M67*$F$9</f>
        <v>186.44301144000002</v>
      </c>
      <c r="Q67" s="46">
        <f aca="true" t="shared" si="21" ref="Q67:Q78">M67*$F$10</f>
        <v>190.17187166880004</v>
      </c>
      <c r="R67" s="47">
        <f aca="true" t="shared" si="22" ref="R67:R78">M67*$F$11</f>
        <v>193.97530910217603</v>
      </c>
      <c r="S67" s="46">
        <f aca="true" t="shared" si="23" ref="S67:S78">M67*$F$12</f>
        <v>197.85481528421954</v>
      </c>
      <c r="T67" s="47">
        <f aca="true" t="shared" si="24" ref="T67:T78">M67*$F$13</f>
        <v>201.81191158990396</v>
      </c>
      <c r="U67" s="169">
        <f t="shared" si="0"/>
        <v>0.02716029789405419</v>
      </c>
      <c r="V67" s="40"/>
    </row>
    <row r="68" spans="1:22" ht="15">
      <c r="A68" s="81"/>
      <c r="B68" s="35" t="s">
        <v>7</v>
      </c>
      <c r="C68" s="35" t="s">
        <v>20</v>
      </c>
      <c r="D68" s="37">
        <v>22</v>
      </c>
      <c r="E68" s="35" t="s">
        <v>21</v>
      </c>
      <c r="F68" s="39">
        <v>0.33</v>
      </c>
      <c r="G68" s="37">
        <v>0.42</v>
      </c>
      <c r="H68">
        <v>21.7</v>
      </c>
      <c r="I68" s="165">
        <v>179</v>
      </c>
      <c r="J68" s="40" t="s">
        <v>7</v>
      </c>
      <c r="K68" s="37" t="s">
        <v>20</v>
      </c>
      <c r="L68" s="166">
        <f t="shared" si="17"/>
        <v>38.814</v>
      </c>
      <c r="M68" s="3">
        <f t="shared" si="18"/>
        <v>2078.5860000000002</v>
      </c>
      <c r="N68" s="41">
        <f>('Assumptions &amp; References'!$B$5)*M68</f>
        <v>623.5758000000001</v>
      </c>
      <c r="O68" s="47">
        <f t="shared" si="19"/>
        <v>-895</v>
      </c>
      <c r="P68" s="47">
        <f t="shared" si="20"/>
        <v>186.65702280000002</v>
      </c>
      <c r="Q68" s="46">
        <f t="shared" si="21"/>
        <v>190.39016325600005</v>
      </c>
      <c r="R68" s="47">
        <f t="shared" si="22"/>
        <v>194.19796652112004</v>
      </c>
      <c r="S68" s="46">
        <f t="shared" si="23"/>
        <v>198.08192585154245</v>
      </c>
      <c r="T68" s="47">
        <f t="shared" si="24"/>
        <v>202.0435643685733</v>
      </c>
      <c r="U68" s="169">
        <f t="shared" si="0"/>
        <v>0.027555053166685325</v>
      </c>
      <c r="V68" s="40"/>
    </row>
    <row r="69" spans="1:22" ht="15">
      <c r="A69" s="81"/>
      <c r="B69" s="35" t="s">
        <v>23</v>
      </c>
      <c r="C69" s="35" t="s">
        <v>44</v>
      </c>
      <c r="D69" s="37">
        <v>22</v>
      </c>
      <c r="E69" s="35" t="s">
        <v>21</v>
      </c>
      <c r="F69" s="39">
        <v>0.35</v>
      </c>
      <c r="G69" s="37">
        <v>0.4</v>
      </c>
      <c r="H69">
        <v>25</v>
      </c>
      <c r="I69" s="165">
        <v>270</v>
      </c>
      <c r="J69" s="40" t="s">
        <v>23</v>
      </c>
      <c r="K69" s="37" t="s">
        <v>44</v>
      </c>
      <c r="L69" s="166">
        <f t="shared" si="17"/>
        <v>44.49</v>
      </c>
      <c r="M69" s="3">
        <f t="shared" si="18"/>
        <v>2072.9100000000003</v>
      </c>
      <c r="N69" s="41">
        <f>('Assumptions &amp; References'!$B$5)*M69</f>
        <v>621.873</v>
      </c>
      <c r="O69" s="47">
        <f t="shared" si="19"/>
        <v>-1350</v>
      </c>
      <c r="P69" s="47">
        <f t="shared" si="20"/>
        <v>186.14731800000004</v>
      </c>
      <c r="Q69" s="46">
        <f t="shared" si="21"/>
        <v>189.87026436000005</v>
      </c>
      <c r="R69" s="47">
        <f t="shared" si="22"/>
        <v>193.66766964720006</v>
      </c>
      <c r="S69" s="46">
        <f t="shared" si="23"/>
        <v>197.54102304014404</v>
      </c>
      <c r="T69" s="47">
        <f t="shared" si="24"/>
        <v>201.49184350094694</v>
      </c>
      <c r="U69" s="169">
        <f t="shared" si="0"/>
        <v>-0.1001617113270031</v>
      </c>
      <c r="V69" s="40"/>
    </row>
    <row r="70" spans="1:22" ht="15">
      <c r="A70" s="81"/>
      <c r="B70" s="35" t="s">
        <v>23</v>
      </c>
      <c r="C70" s="35" t="s">
        <v>45</v>
      </c>
      <c r="D70" s="37">
        <v>22</v>
      </c>
      <c r="E70" s="35" t="s">
        <v>18</v>
      </c>
      <c r="F70" s="39">
        <v>0.37</v>
      </c>
      <c r="G70" s="37">
        <v>0.4</v>
      </c>
      <c r="H70">
        <v>21.1</v>
      </c>
      <c r="I70" s="165">
        <v>260</v>
      </c>
      <c r="J70" s="40" t="s">
        <v>23</v>
      </c>
      <c r="K70" s="37" t="s">
        <v>45</v>
      </c>
      <c r="L70" s="166">
        <f t="shared" si="17"/>
        <v>38.0748</v>
      </c>
      <c r="M70" s="3">
        <f t="shared" si="18"/>
        <v>2079.3252</v>
      </c>
      <c r="N70" s="41">
        <f>('Assumptions &amp; References'!$B$5)*M70</f>
        <v>623.7975600000001</v>
      </c>
      <c r="O70" s="47">
        <f t="shared" si="19"/>
        <v>-1300</v>
      </c>
      <c r="P70" s="47">
        <f t="shared" si="20"/>
        <v>186.72340296000004</v>
      </c>
      <c r="Q70" s="46">
        <f t="shared" si="21"/>
        <v>190.45787101920004</v>
      </c>
      <c r="R70" s="47">
        <f t="shared" si="22"/>
        <v>194.26702843958404</v>
      </c>
      <c r="S70" s="46">
        <f t="shared" si="23"/>
        <v>198.15236900837573</v>
      </c>
      <c r="T70" s="47">
        <f t="shared" si="24"/>
        <v>202.11541638854325</v>
      </c>
      <c r="U70" s="169">
        <f t="shared" si="0"/>
        <v>-0.08873823593287324</v>
      </c>
      <c r="V70" s="40"/>
    </row>
    <row r="71" spans="1:22" ht="15">
      <c r="A71" s="81"/>
      <c r="B71" s="35" t="s">
        <v>23</v>
      </c>
      <c r="C71" s="35" t="s">
        <v>46</v>
      </c>
      <c r="D71" s="37">
        <v>22</v>
      </c>
      <c r="E71" s="35" t="s">
        <v>21</v>
      </c>
      <c r="F71" s="39">
        <v>0.06</v>
      </c>
      <c r="G71" s="37">
        <v>0.08</v>
      </c>
      <c r="H71">
        <v>16.46</v>
      </c>
      <c r="I71" s="165">
        <v>299</v>
      </c>
      <c r="J71" s="40" t="s">
        <v>23</v>
      </c>
      <c r="K71" s="37" t="s">
        <v>46</v>
      </c>
      <c r="L71" s="166">
        <f t="shared" si="17"/>
        <v>28.0824</v>
      </c>
      <c r="M71" s="3">
        <f t="shared" si="18"/>
        <v>2089.3176000000003</v>
      </c>
      <c r="N71" s="41">
        <f>('Assumptions &amp; References'!$B$5)*M71</f>
        <v>626.79528</v>
      </c>
      <c r="O71" s="47">
        <f t="shared" si="19"/>
        <v>-1495</v>
      </c>
      <c r="P71" s="47">
        <f t="shared" si="20"/>
        <v>187.62072048000005</v>
      </c>
      <c r="Q71" s="46">
        <f t="shared" si="21"/>
        <v>191.37313488960004</v>
      </c>
      <c r="R71" s="47">
        <f t="shared" si="22"/>
        <v>195.20059758739205</v>
      </c>
      <c r="S71" s="46">
        <f t="shared" si="23"/>
        <v>199.1046095391399</v>
      </c>
      <c r="T71" s="47">
        <f t="shared" si="24"/>
        <v>203.0867017299227</v>
      </c>
      <c r="U71" s="169">
        <f t="shared" si="0"/>
        <v>-0.12564297883178022</v>
      </c>
      <c r="V71" s="40"/>
    </row>
    <row r="72" spans="1:22" ht="15">
      <c r="A72" s="81"/>
      <c r="B72" s="35" t="s">
        <v>23</v>
      </c>
      <c r="C72" s="35" t="s">
        <v>47</v>
      </c>
      <c r="D72" s="37">
        <v>22</v>
      </c>
      <c r="E72" s="35" t="s">
        <v>21</v>
      </c>
      <c r="F72" s="39">
        <v>0.19</v>
      </c>
      <c r="G72" s="37">
        <v>0.26</v>
      </c>
      <c r="H72">
        <v>22.7</v>
      </c>
      <c r="I72" s="165">
        <v>199</v>
      </c>
      <c r="J72" s="40" t="s">
        <v>23</v>
      </c>
      <c r="K72" s="37" t="s">
        <v>47</v>
      </c>
      <c r="L72" s="166">
        <f t="shared" si="17"/>
        <v>39.498000000000005</v>
      </c>
      <c r="M72" s="3">
        <f t="shared" si="18"/>
        <v>2077.902</v>
      </c>
      <c r="N72" s="41">
        <f>('Assumptions &amp; References'!$B$5)*M72</f>
        <v>623.3706</v>
      </c>
      <c r="O72" s="47">
        <f t="shared" si="19"/>
        <v>-995</v>
      </c>
      <c r="P72" s="47">
        <f t="shared" si="20"/>
        <v>186.5955996</v>
      </c>
      <c r="Q72" s="46">
        <f t="shared" si="21"/>
        <v>190.32751159200004</v>
      </c>
      <c r="R72" s="47">
        <f t="shared" si="22"/>
        <v>194.13406182384003</v>
      </c>
      <c r="S72" s="46">
        <f t="shared" si="23"/>
        <v>198.01674306031683</v>
      </c>
      <c r="T72" s="47">
        <f t="shared" si="24"/>
        <v>201.97707792152318</v>
      </c>
      <c r="U72" s="169">
        <f t="shared" si="0"/>
        <v>-0.007962568267120268</v>
      </c>
      <c r="V72" s="40"/>
    </row>
    <row r="73" spans="1:22" ht="15">
      <c r="A73" s="81"/>
      <c r="B73" s="35" t="s">
        <v>23</v>
      </c>
      <c r="C73" s="35" t="s">
        <v>48</v>
      </c>
      <c r="D73" s="37">
        <v>22</v>
      </c>
      <c r="E73" s="35" t="s">
        <v>17</v>
      </c>
      <c r="F73" s="39">
        <v>0.33</v>
      </c>
      <c r="G73" s="37">
        <v>0.41</v>
      </c>
      <c r="H73">
        <v>19.56</v>
      </c>
      <c r="I73" s="165">
        <v>199</v>
      </c>
      <c r="J73" s="40" t="s">
        <v>23</v>
      </c>
      <c r="K73" s="37" t="s">
        <v>48</v>
      </c>
      <c r="L73" s="166">
        <f t="shared" si="17"/>
        <v>35.21639999999999</v>
      </c>
      <c r="M73" s="3">
        <f t="shared" si="18"/>
        <v>2082.1836000000003</v>
      </c>
      <c r="N73" s="41">
        <f>('Assumptions &amp; References'!$B$5)*M73</f>
        <v>624.6550800000001</v>
      </c>
      <c r="O73" s="47">
        <f t="shared" si="19"/>
        <v>-995</v>
      </c>
      <c r="P73" s="47">
        <f t="shared" si="20"/>
        <v>186.98008728000005</v>
      </c>
      <c r="Q73" s="46">
        <f t="shared" si="21"/>
        <v>190.71968902560005</v>
      </c>
      <c r="R73" s="47">
        <f t="shared" si="22"/>
        <v>194.53408280611205</v>
      </c>
      <c r="S73" s="46">
        <f t="shared" si="23"/>
        <v>198.4247644622343</v>
      </c>
      <c r="T73" s="47">
        <f t="shared" si="24"/>
        <v>202.39325975147898</v>
      </c>
      <c r="U73" s="169">
        <f t="shared" si="0"/>
        <v>-0.007293899528405651</v>
      </c>
      <c r="V73" s="40"/>
    </row>
    <row r="74" spans="1:22" ht="15">
      <c r="A74" s="81"/>
      <c r="B74" s="35" t="s">
        <v>23</v>
      </c>
      <c r="C74" s="35" t="s">
        <v>49</v>
      </c>
      <c r="D74" s="37">
        <v>22</v>
      </c>
      <c r="E74" s="35" t="s">
        <v>21</v>
      </c>
      <c r="F74" s="39">
        <v>0.39</v>
      </c>
      <c r="G74" s="37">
        <v>0.43</v>
      </c>
      <c r="H74">
        <v>20.4</v>
      </c>
      <c r="I74" s="165">
        <v>270</v>
      </c>
      <c r="J74" s="40" t="s">
        <v>23</v>
      </c>
      <c r="K74" s="37" t="s">
        <v>49</v>
      </c>
      <c r="L74" s="166">
        <f t="shared" si="17"/>
        <v>37.04279999999999</v>
      </c>
      <c r="M74" s="3">
        <f t="shared" si="18"/>
        <v>2080.3572</v>
      </c>
      <c r="N74" s="41">
        <f>('Assumptions &amp; References'!$B$5)*M74</f>
        <v>624.1071599999999</v>
      </c>
      <c r="O74" s="47">
        <f t="shared" si="19"/>
        <v>-1350</v>
      </c>
      <c r="P74" s="47">
        <f t="shared" si="20"/>
        <v>186.81607656</v>
      </c>
      <c r="Q74" s="46">
        <f t="shared" si="21"/>
        <v>190.55239809120002</v>
      </c>
      <c r="R74" s="47">
        <f t="shared" si="22"/>
        <v>194.363446053024</v>
      </c>
      <c r="S74" s="46">
        <f t="shared" si="23"/>
        <v>198.2507149740845</v>
      </c>
      <c r="T74" s="47">
        <f t="shared" si="24"/>
        <v>202.2157292735662</v>
      </c>
      <c r="U74" s="169">
        <f t="shared" si="0"/>
        <v>-0.09916760347079509</v>
      </c>
      <c r="V74" s="40"/>
    </row>
    <row r="75" spans="1:22" ht="15">
      <c r="A75" s="81"/>
      <c r="B75" s="35" t="s">
        <v>59</v>
      </c>
      <c r="C75" s="35" t="s">
        <v>63</v>
      </c>
      <c r="D75" s="37">
        <v>22</v>
      </c>
      <c r="E75" s="35" t="s">
        <v>21</v>
      </c>
      <c r="F75" s="39">
        <v>0.49</v>
      </c>
      <c r="G75" s="37">
        <v>0.56</v>
      </c>
      <c r="H75">
        <v>20.27</v>
      </c>
      <c r="I75" s="165">
        <v>229</v>
      </c>
      <c r="J75" s="40" t="s">
        <v>59</v>
      </c>
      <c r="K75" s="37" t="s">
        <v>63</v>
      </c>
      <c r="L75" s="166">
        <f t="shared" si="17"/>
        <v>37.5396</v>
      </c>
      <c r="M75" s="3">
        <f t="shared" si="18"/>
        <v>2079.8604</v>
      </c>
      <c r="N75" s="41">
        <f>('Assumptions &amp; References'!$B$5)*M75</f>
        <v>623.95812</v>
      </c>
      <c r="O75" s="47">
        <f t="shared" si="19"/>
        <v>-1145</v>
      </c>
      <c r="P75" s="47">
        <f t="shared" si="20"/>
        <v>186.77146392</v>
      </c>
      <c r="Q75" s="46">
        <f t="shared" si="21"/>
        <v>190.50689319840004</v>
      </c>
      <c r="R75" s="47">
        <f t="shared" si="22"/>
        <v>194.31703106236802</v>
      </c>
      <c r="S75" s="46">
        <f t="shared" si="23"/>
        <v>198.2033716836154</v>
      </c>
      <c r="T75" s="47">
        <f t="shared" si="24"/>
        <v>202.1674391172877</v>
      </c>
      <c r="U75" s="169">
        <f t="shared" si="0"/>
        <v>-0.0516009455394102</v>
      </c>
      <c r="V75" s="40"/>
    </row>
    <row r="76" spans="1:22" ht="15">
      <c r="A76" s="81"/>
      <c r="B76" s="35" t="s">
        <v>64</v>
      </c>
      <c r="C76" s="35" t="s">
        <v>69</v>
      </c>
      <c r="D76" s="37">
        <v>22</v>
      </c>
      <c r="E76" s="35" t="s">
        <v>21</v>
      </c>
      <c r="F76" s="39">
        <v>0.4</v>
      </c>
      <c r="G76" s="37">
        <v>0.5</v>
      </c>
      <c r="H76">
        <v>20.7</v>
      </c>
      <c r="I76" s="165">
        <v>259</v>
      </c>
      <c r="J76" s="40" t="s">
        <v>64</v>
      </c>
      <c r="K76" s="37" t="s">
        <v>69</v>
      </c>
      <c r="L76" s="166">
        <f t="shared" si="17"/>
        <v>37.632</v>
      </c>
      <c r="M76" s="3">
        <f t="shared" si="18"/>
        <v>2079.768</v>
      </c>
      <c r="N76" s="41">
        <f>('Assumptions &amp; References'!$B$5)*M76</f>
        <v>623.9304</v>
      </c>
      <c r="O76" s="47">
        <f t="shared" si="19"/>
        <v>-1295</v>
      </c>
      <c r="P76" s="47">
        <f t="shared" si="20"/>
        <v>186.76316640000002</v>
      </c>
      <c r="Q76" s="46">
        <f t="shared" si="21"/>
        <v>190.49842972800002</v>
      </c>
      <c r="R76" s="47">
        <f t="shared" si="22"/>
        <v>194.30839832256004</v>
      </c>
      <c r="S76" s="46">
        <f t="shared" si="23"/>
        <v>198.19456628901122</v>
      </c>
      <c r="T76" s="47">
        <f t="shared" si="24"/>
        <v>202.15845761479147</v>
      </c>
      <c r="U76" s="169">
        <f t="shared" si="0"/>
        <v>-0.08758775323272189</v>
      </c>
      <c r="V76" s="40"/>
    </row>
    <row r="77" spans="1:22" ht="15">
      <c r="A77" s="81"/>
      <c r="B77" s="35" t="s">
        <v>72</v>
      </c>
      <c r="C77" s="35" t="s">
        <v>81</v>
      </c>
      <c r="D77" s="37">
        <v>22</v>
      </c>
      <c r="E77" s="35" t="s">
        <v>21</v>
      </c>
      <c r="F77" s="39">
        <v>0.32</v>
      </c>
      <c r="G77" s="37">
        <v>0.32</v>
      </c>
      <c r="H77">
        <v>21.8</v>
      </c>
      <c r="I77" s="165">
        <v>274.99</v>
      </c>
      <c r="J77" s="40" t="s">
        <v>72</v>
      </c>
      <c r="K77" s="37" t="s">
        <v>81</v>
      </c>
      <c r="L77" s="166">
        <f t="shared" si="17"/>
        <v>38.8896</v>
      </c>
      <c r="M77" s="3">
        <f t="shared" si="18"/>
        <v>2078.5104</v>
      </c>
      <c r="N77" s="41">
        <f>('Assumptions &amp; References'!$B$5)*M77</f>
        <v>623.55312</v>
      </c>
      <c r="O77" s="47">
        <f t="shared" si="19"/>
        <v>-1374.95</v>
      </c>
      <c r="P77" s="47">
        <f t="shared" si="20"/>
        <v>186.65023392000003</v>
      </c>
      <c r="Q77" s="46">
        <f t="shared" si="21"/>
        <v>190.38323859840003</v>
      </c>
      <c r="R77" s="47">
        <f t="shared" si="22"/>
        <v>194.19090337036803</v>
      </c>
      <c r="S77" s="46">
        <f t="shared" si="23"/>
        <v>198.0747214377754</v>
      </c>
      <c r="T77" s="47">
        <f t="shared" si="24"/>
        <v>202.0362158665309</v>
      </c>
      <c r="U77" s="169">
        <f t="shared" si="0"/>
        <v>-0.10446975226565669</v>
      </c>
      <c r="V77" s="40"/>
    </row>
    <row r="78" spans="1:22" ht="15">
      <c r="A78" s="81"/>
      <c r="B78" s="35" t="s">
        <v>72</v>
      </c>
      <c r="C78" s="35" t="s">
        <v>82</v>
      </c>
      <c r="D78" s="37">
        <v>22</v>
      </c>
      <c r="E78" s="35" t="s">
        <v>21</v>
      </c>
      <c r="F78" s="39">
        <v>0.47</v>
      </c>
      <c r="G78" s="37">
        <v>0.62</v>
      </c>
      <c r="H78">
        <v>21.7</v>
      </c>
      <c r="I78" s="165">
        <v>285.99</v>
      </c>
      <c r="J78" s="40" t="s">
        <v>72</v>
      </c>
      <c r="K78" s="37" t="s">
        <v>82</v>
      </c>
      <c r="L78" s="166">
        <f t="shared" si="17"/>
        <v>39.8196</v>
      </c>
      <c r="M78" s="3">
        <f t="shared" si="18"/>
        <v>2077.5804000000003</v>
      </c>
      <c r="N78" s="41">
        <f>('Assumptions &amp; References'!$B$5)*M78</f>
        <v>623.27412</v>
      </c>
      <c r="O78" s="47">
        <f t="shared" si="19"/>
        <v>-1429.95</v>
      </c>
      <c r="P78" s="47">
        <f t="shared" si="20"/>
        <v>186.56671992000003</v>
      </c>
      <c r="Q78" s="46">
        <f t="shared" si="21"/>
        <v>190.29805431840003</v>
      </c>
      <c r="R78" s="47">
        <f t="shared" si="22"/>
        <v>194.10401540476806</v>
      </c>
      <c r="S78" s="46">
        <f t="shared" si="23"/>
        <v>197.9860957128634</v>
      </c>
      <c r="T78" s="47">
        <f t="shared" si="24"/>
        <v>201.9458176271207</v>
      </c>
      <c r="U78" s="169">
        <f t="shared" si="0"/>
        <v>-0.11526734653520795</v>
      </c>
      <c r="V78" s="40"/>
    </row>
    <row r="79" spans="1:22" ht="15">
      <c r="A79" s="80" t="s">
        <v>151</v>
      </c>
      <c r="B79" s="34"/>
      <c r="C79" s="34"/>
      <c r="D79" s="36"/>
      <c r="E79" s="34"/>
      <c r="F79" s="38"/>
      <c r="G79" s="36"/>
      <c r="H79" s="4"/>
      <c r="I79" s="164"/>
      <c r="J79" s="18"/>
      <c r="K79" s="36"/>
      <c r="L79" s="167"/>
      <c r="M79" s="43"/>
      <c r="N79" s="42"/>
      <c r="O79" s="48"/>
      <c r="P79" s="48"/>
      <c r="Q79" s="45"/>
      <c r="R79" s="48"/>
      <c r="S79" s="45"/>
      <c r="T79" s="48"/>
      <c r="U79" s="170"/>
      <c r="V79" s="18" t="s">
        <v>151</v>
      </c>
    </row>
    <row r="80" spans="1:22" ht="15">
      <c r="A80" s="81"/>
      <c r="B80" s="35" t="s">
        <v>7</v>
      </c>
      <c r="C80" s="35" t="s">
        <v>13</v>
      </c>
      <c r="D80" s="37">
        <v>23</v>
      </c>
      <c r="E80" s="35" t="s">
        <v>18</v>
      </c>
      <c r="F80" s="39">
        <v>0.58</v>
      </c>
      <c r="G80" s="37">
        <v>0.73</v>
      </c>
      <c r="H80">
        <v>30.37</v>
      </c>
      <c r="I80" s="165">
        <v>215</v>
      </c>
      <c r="J80" s="40" t="s">
        <v>7</v>
      </c>
      <c r="K80" s="37" t="s">
        <v>13</v>
      </c>
      <c r="L80" s="166">
        <f>((F80*$B$9+G80*$B$8+H80*$B$7)*$B$12+(F80*24*(365-$B$12)))/1000</f>
        <v>55.164</v>
      </c>
      <c r="M80" s="3">
        <f>$B$17-L80</f>
        <v>2062.236</v>
      </c>
      <c r="N80" s="41">
        <f>('Assumptions &amp; References'!$B$5)*M80</f>
        <v>618.6708</v>
      </c>
      <c r="O80" s="47">
        <f>-I80*$B$11</f>
        <v>-1075</v>
      </c>
      <c r="P80" s="47">
        <f>M80*$F$9</f>
        <v>185.1887928</v>
      </c>
      <c r="Q80" s="46">
        <f>M80*$F$10</f>
        <v>188.892568656</v>
      </c>
      <c r="R80" s="47">
        <f>M80*$F$11</f>
        <v>192.67042002912</v>
      </c>
      <c r="S80" s="46">
        <f>M80*$F$12</f>
        <v>196.5238284297024</v>
      </c>
      <c r="T80" s="47">
        <f>M80*$F$13</f>
        <v>200.45430499829646</v>
      </c>
      <c r="U80" s="169">
        <f t="shared" si="0"/>
        <v>-0.03490848276323964</v>
      </c>
      <c r="V80" s="40"/>
    </row>
    <row r="81" spans="1:22" ht="15">
      <c r="A81" s="81"/>
      <c r="B81" s="35" t="s">
        <v>23</v>
      </c>
      <c r="C81" s="35" t="s">
        <v>50</v>
      </c>
      <c r="D81" s="37">
        <v>23</v>
      </c>
      <c r="E81" s="35" t="s">
        <v>18</v>
      </c>
      <c r="F81" s="39">
        <v>0.32</v>
      </c>
      <c r="G81" s="37">
        <v>0.34</v>
      </c>
      <c r="H81">
        <v>24.5</v>
      </c>
      <c r="I81" s="165">
        <v>300</v>
      </c>
      <c r="J81" s="40" t="s">
        <v>23</v>
      </c>
      <c r="K81" s="37" t="s">
        <v>50</v>
      </c>
      <c r="L81" s="166">
        <f>((F81*$B$9+G81*$B$8+H81*$B$7)*$B$12+(F81*24*(365-$B$12)))/1000</f>
        <v>43.4304</v>
      </c>
      <c r="M81" s="3">
        <f>$B$17-L81</f>
        <v>2073.9696</v>
      </c>
      <c r="N81" s="41">
        <f>('Assumptions &amp; References'!$B$5)*M81</f>
        <v>622.19088</v>
      </c>
      <c r="O81" s="47">
        <f>-I81*$B$11</f>
        <v>-1500</v>
      </c>
      <c r="P81" s="47">
        <f>M81*$F$9</f>
        <v>186.24247008</v>
      </c>
      <c r="Q81" s="46">
        <f>M81*$F$10</f>
        <v>189.96731948160001</v>
      </c>
      <c r="R81" s="47">
        <f>M81*$F$11</f>
        <v>193.76666587123202</v>
      </c>
      <c r="S81" s="46">
        <f>M81*$F$12</f>
        <v>197.64199918865665</v>
      </c>
      <c r="T81" s="47">
        <f>M81*$F$13</f>
        <v>201.5948391724298</v>
      </c>
      <c r="U81" s="169">
        <f t="shared" si="0"/>
        <v>-0.12846960993610243</v>
      </c>
      <c r="V81" s="40"/>
    </row>
    <row r="82" spans="1:22" ht="15">
      <c r="A82" s="81"/>
      <c r="B82" s="35" t="s">
        <v>23</v>
      </c>
      <c r="C82" s="35" t="s">
        <v>51</v>
      </c>
      <c r="D82" s="37">
        <v>23</v>
      </c>
      <c r="E82" s="35" t="s">
        <v>18</v>
      </c>
      <c r="F82" s="39">
        <v>0.34</v>
      </c>
      <c r="G82" s="37">
        <v>0.4</v>
      </c>
      <c r="H82">
        <v>24.2</v>
      </c>
      <c r="I82" s="165">
        <v>330</v>
      </c>
      <c r="J82" s="40" t="s">
        <v>23</v>
      </c>
      <c r="K82" s="37" t="s">
        <v>51</v>
      </c>
      <c r="L82" s="166">
        <f>((F82*$B$9+G82*$B$8+H82*$B$7)*$B$12+(F82*24*(365-$B$12)))/1000</f>
        <v>43.077600000000004</v>
      </c>
      <c r="M82" s="3">
        <f>$B$17-L82</f>
        <v>2074.3224</v>
      </c>
      <c r="N82" s="41">
        <f>('Assumptions &amp; References'!$B$5)*M82</f>
        <v>622.2967199999999</v>
      </c>
      <c r="O82" s="47">
        <f>-I82*$B$11</f>
        <v>-1650</v>
      </c>
      <c r="P82" s="47">
        <f>M82*$F$9</f>
        <v>186.27415152</v>
      </c>
      <c r="Q82" s="46">
        <f>M82*$F$10</f>
        <v>189.99963455040003</v>
      </c>
      <c r="R82" s="47">
        <f>M82*$F$11</f>
        <v>193.79962724140802</v>
      </c>
      <c r="S82" s="46">
        <f>M82*$F$12</f>
        <v>197.67561978623618</v>
      </c>
      <c r="T82" s="47">
        <f>M82*$F$13</f>
        <v>201.62913218196093</v>
      </c>
      <c r="U82" s="169">
        <f t="shared" si="0"/>
        <v>-0.1529537661131148</v>
      </c>
      <c r="V82" s="40"/>
    </row>
    <row r="83" spans="1:22" ht="15">
      <c r="A83" s="81"/>
      <c r="B83" s="35" t="s">
        <v>23</v>
      </c>
      <c r="C83" s="35" t="s">
        <v>52</v>
      </c>
      <c r="D83" s="37">
        <v>23</v>
      </c>
      <c r="E83" s="35" t="s">
        <v>18</v>
      </c>
      <c r="F83" s="39">
        <v>0.4</v>
      </c>
      <c r="G83" s="37">
        <v>0.48</v>
      </c>
      <c r="H83">
        <v>21.45</v>
      </c>
      <c r="I83" s="165">
        <v>189</v>
      </c>
      <c r="J83" s="40" t="s">
        <v>23</v>
      </c>
      <c r="K83" s="37" t="s">
        <v>52</v>
      </c>
      <c r="L83" s="166">
        <f>((F83*$B$9+G83*$B$8+H83*$B$7)*$B$12+(F83*24*(365-$B$12)))/1000</f>
        <v>38.8872</v>
      </c>
      <c r="M83" s="3">
        <f>$B$17-L83</f>
        <v>2078.5128</v>
      </c>
      <c r="N83" s="41">
        <f>('Assumptions &amp; References'!$B$5)*M83</f>
        <v>623.5538399999999</v>
      </c>
      <c r="O83" s="47">
        <f>-I83*$B$11</f>
        <v>-945</v>
      </c>
      <c r="P83" s="47">
        <f>M83*$F$9</f>
        <v>186.65044944000002</v>
      </c>
      <c r="Q83" s="46">
        <f>M83*$F$10</f>
        <v>190.38345842880003</v>
      </c>
      <c r="R83" s="47">
        <f>M83*$F$11</f>
        <v>194.191127597376</v>
      </c>
      <c r="S83" s="46">
        <f>M83*$F$12</f>
        <v>198.07495014932354</v>
      </c>
      <c r="T83" s="47">
        <f>M83*$F$13</f>
        <v>202.03644915231</v>
      </c>
      <c r="U83" s="169">
        <f t="shared" si="0"/>
        <v>0.009111604173865985</v>
      </c>
      <c r="V83" s="40"/>
    </row>
    <row r="84" spans="1:22" ht="15">
      <c r="A84" s="80" t="s">
        <v>152</v>
      </c>
      <c r="B84" s="34"/>
      <c r="C84" s="34"/>
      <c r="D84" s="36"/>
      <c r="E84" s="34"/>
      <c r="F84" s="38"/>
      <c r="G84" s="36"/>
      <c r="H84" s="4"/>
      <c r="I84" s="164"/>
      <c r="J84" s="18"/>
      <c r="K84" s="36"/>
      <c r="L84" s="167"/>
      <c r="M84" s="43"/>
      <c r="N84" s="42"/>
      <c r="O84" s="48"/>
      <c r="P84" s="48"/>
      <c r="Q84" s="45"/>
      <c r="R84" s="48"/>
      <c r="S84" s="45"/>
      <c r="T84" s="48"/>
      <c r="U84" s="170"/>
      <c r="V84" s="18" t="s">
        <v>152</v>
      </c>
    </row>
    <row r="85" spans="2:24" ht="15">
      <c r="B85" s="35" t="s">
        <v>23</v>
      </c>
      <c r="C85" s="35" t="s">
        <v>53</v>
      </c>
      <c r="D85" s="37">
        <v>24</v>
      </c>
      <c r="E85" s="35" t="s">
        <v>18</v>
      </c>
      <c r="F85" s="39">
        <v>0.06</v>
      </c>
      <c r="G85" s="37">
        <v>0.08</v>
      </c>
      <c r="H85">
        <v>18.5</v>
      </c>
      <c r="I85" s="165">
        <v>380</v>
      </c>
      <c r="J85" s="40" t="s">
        <v>23</v>
      </c>
      <c r="K85" s="37" t="s">
        <v>53</v>
      </c>
      <c r="L85" s="166">
        <f>((F85*$B$9+G85*$B$8+H85*$B$7)*$B$12+(F85*24*(365-$B$12)))/1000</f>
        <v>31.5096</v>
      </c>
      <c r="M85" s="3">
        <f>$B$17-L85</f>
        <v>2085.8904</v>
      </c>
      <c r="N85" s="41">
        <f>('Assumptions &amp; References'!$B$5)*M85</f>
        <v>625.7671200000001</v>
      </c>
      <c r="O85" s="47">
        <f>-I85*$B$11</f>
        <v>-1900</v>
      </c>
      <c r="P85" s="47">
        <f>M85*$F$9</f>
        <v>187.31295792000003</v>
      </c>
      <c r="Q85" s="46">
        <f>M85*$F$10</f>
        <v>191.05921707840005</v>
      </c>
      <c r="R85" s="47">
        <f>M85*$F$11</f>
        <v>194.88040141996805</v>
      </c>
      <c r="S85" s="46">
        <f>M85*$F$12</f>
        <v>198.7780094483674</v>
      </c>
      <c r="T85" s="47">
        <f>M85*$F$13</f>
        <v>202.75356963733478</v>
      </c>
      <c r="U85" s="169">
        <f t="shared" si="0"/>
        <v>-0.1860133271121581</v>
      </c>
      <c r="V85" s="40"/>
      <c r="X85" s="40"/>
    </row>
    <row r="86" spans="2:24" ht="15">
      <c r="B86" s="35" t="s">
        <v>23</v>
      </c>
      <c r="C86" s="35" t="s">
        <v>54</v>
      </c>
      <c r="D86" s="37">
        <v>24</v>
      </c>
      <c r="E86" s="35" t="s">
        <v>18</v>
      </c>
      <c r="F86" s="39">
        <v>0.44</v>
      </c>
      <c r="G86" s="37">
        <v>0.65</v>
      </c>
      <c r="H86">
        <v>21.36</v>
      </c>
      <c r="I86" s="165">
        <v>300</v>
      </c>
      <c r="J86" s="40" t="s">
        <v>23</v>
      </c>
      <c r="K86" s="37" t="s">
        <v>54</v>
      </c>
      <c r="L86" s="166">
        <f>((F86*$B$9+G86*$B$8+H86*$B$7)*$B$12+(F86*24*(365-$B$12)))/1000</f>
        <v>39.050399999999996</v>
      </c>
      <c r="M86" s="3">
        <f>$B$17-L86</f>
        <v>2078.3496</v>
      </c>
      <c r="N86" s="41">
        <f>('Assumptions &amp; References'!$B$5)*M86</f>
        <v>623.50488</v>
      </c>
      <c r="O86" s="47">
        <f>-I86*$B$11</f>
        <v>-1500</v>
      </c>
      <c r="P86" s="47">
        <f>M86*$F$9</f>
        <v>186.63579408</v>
      </c>
      <c r="Q86" s="46">
        <f>M86*$F$10</f>
        <v>190.3685099616</v>
      </c>
      <c r="R86" s="47">
        <f>M86*$F$11</f>
        <v>194.17588016083204</v>
      </c>
      <c r="S86" s="46">
        <f>M86*$F$12</f>
        <v>198.05939776404867</v>
      </c>
      <c r="T86" s="47">
        <f>M86*$F$13</f>
        <v>202.02058571932966</v>
      </c>
      <c r="U86" s="169">
        <f t="shared" si="0"/>
        <v>-0.12791406622221294</v>
      </c>
      <c r="V86" s="40"/>
      <c r="X86" s="40"/>
    </row>
    <row r="87" spans="2:24" ht="15">
      <c r="B87" s="35" t="s">
        <v>64</v>
      </c>
      <c r="C87" s="35" t="s">
        <v>70</v>
      </c>
      <c r="D87" s="37">
        <v>24</v>
      </c>
      <c r="E87" s="35" t="s">
        <v>71</v>
      </c>
      <c r="F87" s="39">
        <v>0.63</v>
      </c>
      <c r="G87" s="37">
        <v>0.85</v>
      </c>
      <c r="H87">
        <v>34.77</v>
      </c>
      <c r="I87" s="165">
        <v>399</v>
      </c>
      <c r="J87" s="40" t="s">
        <v>64</v>
      </c>
      <c r="K87" s="37" t="s">
        <v>70</v>
      </c>
      <c r="L87" s="166">
        <f>((F87*$B$9+G87*$B$8+H87*$B$7)*$B$12+(F87*24*(365-$B$12)))/1000</f>
        <v>62.9268</v>
      </c>
      <c r="M87" s="3">
        <f>$B$17-L87</f>
        <v>2054.4732</v>
      </c>
      <c r="N87" s="41">
        <f>('Assumptions &amp; References'!$B$5)*M87</f>
        <v>616.34196</v>
      </c>
      <c r="O87" s="47">
        <f>-I87*$B$11</f>
        <v>-1995</v>
      </c>
      <c r="P87" s="47">
        <f>M87*$F$9</f>
        <v>184.49169336</v>
      </c>
      <c r="Q87" s="46">
        <f>M87*$F$10</f>
        <v>188.1815272272</v>
      </c>
      <c r="R87" s="47">
        <f>M87*$F$11</f>
        <v>191.94515777174402</v>
      </c>
      <c r="S87" s="46">
        <f>M87*$F$12</f>
        <v>195.7840609271789</v>
      </c>
      <c r="T87" s="47">
        <f>M87*$F$13</f>
        <v>199.6997421457225</v>
      </c>
      <c r="U87" s="169">
        <f t="shared" si="0"/>
        <v>-0.20092857388874455</v>
      </c>
      <c r="V87" s="40"/>
      <c r="X87" s="40"/>
    </row>
    <row r="88" spans="12:24" ht="15">
      <c r="L88" s="3"/>
      <c r="M88" s="3"/>
      <c r="X88" s="40"/>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124</v>
      </c>
      <c r="K103" s="51"/>
      <c r="L103" s="51"/>
      <c r="M103" s="8"/>
      <c r="N103" s="8"/>
      <c r="O103" s="8"/>
      <c r="P103" s="8"/>
      <c r="Q103" s="8"/>
      <c r="R103" s="8"/>
      <c r="S103" s="8"/>
      <c r="T103" s="8"/>
      <c r="U103" s="8"/>
      <c r="W103" s="5"/>
    </row>
    <row r="104" spans="1:23" ht="15">
      <c r="A104" s="130" t="s">
        <v>224</v>
      </c>
      <c r="J104" s="8"/>
      <c r="K104" s="51"/>
      <c r="L104" s="51"/>
      <c r="M104" s="8"/>
      <c r="N104" s="8"/>
      <c r="O104" s="8"/>
      <c r="P104" s="8"/>
      <c r="Q104" s="8"/>
      <c r="R104" s="8"/>
      <c r="S104" s="8"/>
      <c r="T104" s="8"/>
      <c r="U104" s="8"/>
      <c r="W104" s="52"/>
    </row>
    <row r="105" spans="1:23" ht="15">
      <c r="A105" s="60" t="s">
        <v>125</v>
      </c>
      <c r="B105" s="4"/>
      <c r="C105" s="4"/>
      <c r="D105" s="4"/>
      <c r="E105" s="4"/>
      <c r="F105" s="4"/>
      <c r="G105" s="4"/>
      <c r="H105" s="4"/>
      <c r="I105" s="4"/>
      <c r="J105" s="8"/>
      <c r="K105" s="51"/>
      <c r="L105" s="51"/>
      <c r="M105" s="8"/>
      <c r="N105" s="8"/>
      <c r="O105" s="8"/>
      <c r="P105" s="8"/>
      <c r="Q105" s="8"/>
      <c r="R105" s="8"/>
      <c r="S105" s="8"/>
      <c r="T105" s="8"/>
      <c r="U105" s="8"/>
      <c r="W105" s="52"/>
    </row>
    <row r="106" spans="10:23" ht="15">
      <c r="J106" s="8"/>
      <c r="K106" s="8"/>
      <c r="L106" s="8"/>
      <c r="M106" s="8"/>
      <c r="N106" s="8"/>
      <c r="O106" s="8"/>
      <c r="P106" s="8"/>
      <c r="Q106" s="8"/>
      <c r="R106" s="8"/>
      <c r="S106" s="52"/>
      <c r="T106" s="8"/>
      <c r="U106" s="8"/>
      <c r="W106" s="52"/>
    </row>
    <row r="107" spans="1:23" ht="15">
      <c r="A107" s="173" t="s">
        <v>126</v>
      </c>
      <c r="B107" s="174" t="s">
        <v>138</v>
      </c>
      <c r="C107" s="173"/>
      <c r="D107" s="82"/>
      <c r="E107" s="58" t="s">
        <v>136</v>
      </c>
      <c r="F107" s="58"/>
      <c r="H107" s="58" t="s">
        <v>140</v>
      </c>
      <c r="I107" s="58"/>
      <c r="J107" s="8"/>
      <c r="K107" s="8"/>
      <c r="L107" s="8"/>
      <c r="M107" s="8"/>
      <c r="N107" s="8"/>
      <c r="O107" s="8"/>
      <c r="P107" s="8"/>
      <c r="Q107" s="8"/>
      <c r="R107" s="8"/>
      <c r="S107" s="8"/>
      <c r="T107" s="8"/>
      <c r="U107" s="8"/>
      <c r="W107" s="8"/>
    </row>
    <row r="108" spans="1:21" ht="15">
      <c r="A108" s="178">
        <f>INDEX(B23:U27,MATCH(MAX(U23:U27),U23:U27,0),20)</f>
        <v>0.12191307775472385</v>
      </c>
      <c r="B108" s="176">
        <f>INDEX(B23:U27,MATCH(MAX(U23:U27),U23:U27,0),13)</f>
        <v>624.60576</v>
      </c>
      <c r="C108" s="179" t="s">
        <v>139</v>
      </c>
      <c r="D108" s="66"/>
      <c r="E108" s="59" t="s">
        <v>2</v>
      </c>
      <c r="F108" s="44">
        <f>INDEX(B23:U27,MATCH(MAX(U23:U27),U23:U27,0),5)</f>
        <v>0.4</v>
      </c>
      <c r="H108" s="56" t="s">
        <v>141</v>
      </c>
      <c r="I108" s="57" t="s">
        <v>117</v>
      </c>
      <c r="J108" s="8"/>
      <c r="K108" s="8"/>
      <c r="L108" s="8"/>
      <c r="M108" s="8"/>
      <c r="N108" s="126"/>
      <c r="O108" s="126"/>
      <c r="P108" s="126"/>
      <c r="Q108" s="126"/>
      <c r="R108" s="126"/>
      <c r="S108" s="126"/>
      <c r="T108" s="126"/>
      <c r="U108" s="126"/>
    </row>
    <row r="109" spans="5:21" ht="15">
      <c r="E109" s="54" t="s">
        <v>3</v>
      </c>
      <c r="F109" s="44">
        <f>INDEX(B23:U27,MATCH(MAX(U23:U27),U23:U27,0),6)</f>
        <v>0.43</v>
      </c>
      <c r="G109">
        <v>0</v>
      </c>
      <c r="H109" s="62">
        <f>INDEX(B23:U27,MATCH(MAX(U23:U27),U23:U27,0),14)</f>
        <v>-695</v>
      </c>
      <c r="I109" s="49">
        <f>H109</f>
        <v>-695</v>
      </c>
      <c r="J109" s="8"/>
      <c r="K109" s="8"/>
      <c r="L109" s="8"/>
      <c r="M109" s="8"/>
      <c r="N109" s="8"/>
      <c r="O109" s="8"/>
      <c r="P109" s="8"/>
      <c r="Q109" s="8"/>
      <c r="R109" s="8"/>
      <c r="S109" s="8"/>
      <c r="T109" s="8"/>
      <c r="U109" s="8"/>
    </row>
    <row r="110" spans="1:21" ht="15">
      <c r="A110" s="58" t="s">
        <v>135</v>
      </c>
      <c r="B110" s="58"/>
      <c r="E110" s="54" t="s">
        <v>4</v>
      </c>
      <c r="F110" s="44">
        <f>INDEX(B23:U27,MATCH(MAX(U23:U27),U23:U27,0),7)</f>
        <v>19.37</v>
      </c>
      <c r="G110">
        <v>1</v>
      </c>
      <c r="H110" s="55">
        <f>INDEX(B23:U27,MATCH(MAX(U23:U27),U23:U27,0),15)</f>
        <v>186.96532416000002</v>
      </c>
      <c r="I110" s="49">
        <f>H110+I109</f>
        <v>-508.03467584</v>
      </c>
      <c r="J110" s="8"/>
      <c r="K110" s="8"/>
      <c r="L110" s="8"/>
      <c r="M110" s="8"/>
      <c r="N110" s="8"/>
      <c r="O110" s="8"/>
      <c r="P110" s="8"/>
      <c r="Q110" s="8"/>
      <c r="R110" s="8"/>
      <c r="S110" s="8"/>
      <c r="T110" s="8"/>
      <c r="U110" s="8"/>
    </row>
    <row r="111" spans="1:21" ht="15">
      <c r="A111" s="44" t="str">
        <f>INDEX(B23:U27,MATCH(MAX(U23:U27),U23:U27,0),1)</f>
        <v>Dell</v>
      </c>
      <c r="B111" s="44" t="str">
        <f>INDEX(B23:U27,MATCH(MAX(U23:U27),U23:U27,0),2)</f>
        <v>E1709Wf</v>
      </c>
      <c r="G111">
        <v>2</v>
      </c>
      <c r="H111" s="55">
        <f>INDEX(B23:U27,MATCH(MAX(U23:U27),U23:U27,0),16)</f>
        <v>190.70463064320003</v>
      </c>
      <c r="I111" s="49">
        <f>H111+I110</f>
        <v>-317.3300451967999</v>
      </c>
      <c r="J111" s="8"/>
      <c r="K111" s="8"/>
      <c r="L111" s="8"/>
      <c r="M111" s="8"/>
      <c r="N111" s="8"/>
      <c r="O111" s="8"/>
      <c r="P111" s="8"/>
      <c r="Q111" s="8"/>
      <c r="R111" s="8"/>
      <c r="S111" s="8"/>
      <c r="T111" s="8"/>
      <c r="U111" s="8"/>
    </row>
    <row r="112" spans="4:21" ht="15">
      <c r="D112" s="66"/>
      <c r="E112" s="66"/>
      <c r="F112" s="66"/>
      <c r="G112">
        <v>3</v>
      </c>
      <c r="H112" s="55">
        <f>INDEX(B23:U27,MATCH(MAX(U23:U27),U23:U27,0),17)</f>
        <v>194.51872325606405</v>
      </c>
      <c r="I112" s="49">
        <f>H112+I111</f>
        <v>-122.81132194073587</v>
      </c>
      <c r="J112" s="8"/>
      <c r="K112" s="8"/>
      <c r="L112" s="8"/>
      <c r="M112" s="8"/>
      <c r="N112" s="8"/>
      <c r="O112" s="8"/>
      <c r="P112" s="8"/>
      <c r="Q112" s="8"/>
      <c r="R112" s="8"/>
      <c r="S112" s="8"/>
      <c r="T112" s="8"/>
      <c r="U112" s="8"/>
    </row>
    <row r="113" spans="1:21" ht="15">
      <c r="A113" s="84" t="s">
        <v>137</v>
      </c>
      <c r="B113" s="84" t="s">
        <v>134</v>
      </c>
      <c r="D113" s="66"/>
      <c r="E113" s="82"/>
      <c r="F113" s="82"/>
      <c r="G113">
        <v>4</v>
      </c>
      <c r="H113" s="55">
        <f>INDEX(B23:U27,MATCH(MAX(U23:U27),U23:U27,0),18)</f>
        <v>198.4090977211853</v>
      </c>
      <c r="I113" s="49">
        <f>H113+I112</f>
        <v>75.59777578044944</v>
      </c>
      <c r="J113" s="8"/>
      <c r="K113" s="8"/>
      <c r="L113" s="8"/>
      <c r="M113" s="8"/>
      <c r="N113" s="8"/>
      <c r="O113" s="8"/>
      <c r="P113" s="8"/>
      <c r="Q113" s="8"/>
      <c r="R113" s="8"/>
      <c r="S113" s="8"/>
      <c r="T113" s="8"/>
      <c r="U113" s="8"/>
    </row>
    <row r="114" spans="1:21" ht="15">
      <c r="A114" s="63">
        <f>INDEX(B23:U27,MATCH(MAX(U23:U27),U23:U27,0),8)</f>
        <v>139</v>
      </c>
      <c r="B114" s="85" t="str">
        <f>INDEX(B23:U27,MATCH(MAX(U23:U27),U23:U27,0),4)</f>
        <v>1440x900</v>
      </c>
      <c r="D114" s="66"/>
      <c r="E114" s="66"/>
      <c r="F114" s="66"/>
      <c r="G114">
        <v>5</v>
      </c>
      <c r="H114" s="55">
        <f>INDEX(B23:U27,MATCH(MAX(U23:U27),U23:U27,0),19)</f>
        <v>202.37727967560903</v>
      </c>
      <c r="I114" s="49">
        <f>H114+I113</f>
        <v>277.9750554560585</v>
      </c>
      <c r="J114" s="8"/>
      <c r="K114" s="8"/>
      <c r="L114" s="8"/>
      <c r="M114" s="8"/>
      <c r="N114" s="8"/>
      <c r="O114" s="8"/>
      <c r="P114" s="8"/>
      <c r="Q114" s="8"/>
      <c r="R114" s="8"/>
      <c r="S114" s="8"/>
      <c r="T114" s="8"/>
      <c r="U114" s="8"/>
    </row>
    <row r="115" spans="3:21" ht="15">
      <c r="C115" s="8"/>
      <c r="D115" s="8"/>
      <c r="E115" s="8"/>
      <c r="F115" s="8"/>
      <c r="G115" s="8"/>
      <c r="H115" s="8"/>
      <c r="I115" s="8"/>
      <c r="J115" s="66"/>
      <c r="K115" s="67"/>
      <c r="L115" s="67"/>
      <c r="M115" s="8"/>
      <c r="N115" s="8"/>
      <c r="O115" s="8"/>
      <c r="P115" s="8"/>
      <c r="Q115" s="8"/>
      <c r="R115" s="8"/>
      <c r="S115" s="8"/>
      <c r="T115" s="8"/>
      <c r="U115" s="8"/>
    </row>
    <row r="116" spans="3:21" ht="15">
      <c r="C116" s="8"/>
      <c r="D116" s="8"/>
      <c r="E116" s="8"/>
      <c r="F116" s="8"/>
      <c r="G116" s="8"/>
      <c r="H116" s="8"/>
      <c r="I116" s="8"/>
      <c r="J116" s="8"/>
      <c r="K116" s="51"/>
      <c r="L116" s="53"/>
      <c r="M116" s="8"/>
      <c r="N116" s="8"/>
      <c r="O116" s="8"/>
      <c r="P116" s="8"/>
      <c r="Q116" s="8"/>
      <c r="R116" s="8"/>
      <c r="S116" s="8"/>
      <c r="T116" s="8"/>
      <c r="U116" s="8"/>
    </row>
    <row r="117" spans="10:21" ht="15">
      <c r="J117" s="8"/>
      <c r="K117" s="8"/>
      <c r="L117" s="8"/>
      <c r="M117" s="8"/>
      <c r="N117" s="8"/>
      <c r="O117" s="8"/>
      <c r="P117" s="8"/>
      <c r="Q117" s="8"/>
      <c r="R117" s="8"/>
      <c r="S117" s="8"/>
      <c r="T117" s="8"/>
      <c r="U117" s="8"/>
    </row>
    <row r="118" spans="10:21" ht="15">
      <c r="J118" s="8"/>
      <c r="K118" s="8"/>
      <c r="L118" s="8"/>
      <c r="M118" s="8"/>
      <c r="N118" s="8"/>
      <c r="O118" s="8"/>
      <c r="P118" s="8"/>
      <c r="Q118" s="8"/>
      <c r="R118" s="8"/>
      <c r="S118" s="8"/>
      <c r="T118" s="8"/>
      <c r="U118" s="8"/>
    </row>
    <row r="119" spans="10:21" ht="15">
      <c r="J119" s="8"/>
      <c r="K119" s="8"/>
      <c r="L119" s="8"/>
      <c r="M119" s="8"/>
      <c r="N119" s="8"/>
      <c r="O119" s="8"/>
      <c r="P119" s="8"/>
      <c r="Q119" s="8"/>
      <c r="R119" s="8"/>
      <c r="S119" s="8"/>
      <c r="T119" s="8"/>
      <c r="U119" s="8"/>
    </row>
    <row r="120" spans="10:21" ht="15">
      <c r="J120" s="8"/>
      <c r="K120" s="8"/>
      <c r="L120" s="8"/>
      <c r="M120" s="8"/>
      <c r="N120" s="8"/>
      <c r="O120" s="8"/>
      <c r="P120" s="8"/>
      <c r="Q120" s="8"/>
      <c r="R120" s="8"/>
      <c r="S120" s="8"/>
      <c r="T120" s="8"/>
      <c r="U120" s="8"/>
    </row>
    <row r="121" spans="10:21" ht="15">
      <c r="J121" s="8"/>
      <c r="K121" s="8"/>
      <c r="L121" s="8"/>
      <c r="M121" s="8"/>
      <c r="N121" s="8"/>
      <c r="O121" s="8"/>
      <c r="P121" s="8"/>
      <c r="Q121" s="8"/>
      <c r="R121" s="8"/>
      <c r="S121" s="8"/>
      <c r="T121" s="8"/>
      <c r="U121" s="8"/>
    </row>
    <row r="122" spans="10:21" ht="15">
      <c r="J122" s="8"/>
      <c r="K122" s="8"/>
      <c r="L122" s="8"/>
      <c r="M122" s="8"/>
      <c r="N122" s="8"/>
      <c r="O122" s="8"/>
      <c r="P122" s="8"/>
      <c r="Q122" s="8"/>
      <c r="R122" s="8"/>
      <c r="S122" s="8"/>
      <c r="T122" s="8"/>
      <c r="U122" s="8"/>
    </row>
    <row r="123" spans="10:21" ht="15">
      <c r="J123" s="8"/>
      <c r="K123" s="8"/>
      <c r="L123" s="8"/>
      <c r="M123" s="8"/>
      <c r="N123" s="8"/>
      <c r="O123" s="8"/>
      <c r="P123" s="8"/>
      <c r="Q123" s="8"/>
      <c r="R123" s="8"/>
      <c r="S123" s="8"/>
      <c r="T123" s="8"/>
      <c r="U123" s="8"/>
    </row>
    <row r="124" spans="10:21" ht="15">
      <c r="J124" s="8"/>
      <c r="K124" s="8"/>
      <c r="L124" s="8"/>
      <c r="M124" s="8"/>
      <c r="N124" s="8"/>
      <c r="O124" s="8"/>
      <c r="P124" s="8"/>
      <c r="Q124" s="8"/>
      <c r="R124" s="8"/>
      <c r="S124" s="8"/>
      <c r="T124" s="8"/>
      <c r="U124" s="8"/>
    </row>
    <row r="125" spans="10:23" ht="15">
      <c r="J125" s="8"/>
      <c r="K125" s="8"/>
      <c r="L125" s="8"/>
      <c r="M125" s="8"/>
      <c r="N125" s="8"/>
      <c r="O125" s="8"/>
      <c r="P125" s="8"/>
      <c r="Q125" s="8"/>
      <c r="R125" s="8"/>
      <c r="S125" s="8"/>
      <c r="T125" s="8"/>
      <c r="U125" s="8"/>
      <c r="W125" s="5"/>
    </row>
    <row r="126" spans="10:23" ht="15">
      <c r="J126" s="8"/>
      <c r="K126" s="8"/>
      <c r="L126" s="8"/>
      <c r="M126" s="8"/>
      <c r="N126" s="8"/>
      <c r="O126" s="8"/>
      <c r="P126" s="8"/>
      <c r="Q126" s="8"/>
      <c r="R126" s="8"/>
      <c r="S126" s="8"/>
      <c r="T126" s="8"/>
      <c r="U126" s="8"/>
      <c r="W126" s="52"/>
    </row>
    <row r="127" spans="1:23" ht="15">
      <c r="A127" s="60" t="s">
        <v>127</v>
      </c>
      <c r="B127" s="4"/>
      <c r="C127" s="4"/>
      <c r="D127" s="4"/>
      <c r="E127" s="4"/>
      <c r="F127" s="4"/>
      <c r="G127" s="4"/>
      <c r="H127" s="4"/>
      <c r="I127" s="4"/>
      <c r="J127" s="8"/>
      <c r="K127" s="8"/>
      <c r="L127" s="8"/>
      <c r="M127" s="8"/>
      <c r="N127" s="8"/>
      <c r="O127" s="8"/>
      <c r="P127" s="8"/>
      <c r="Q127" s="8"/>
      <c r="R127" s="8"/>
      <c r="S127" s="8"/>
      <c r="T127" s="8"/>
      <c r="U127" s="8"/>
      <c r="W127" s="8"/>
    </row>
    <row r="128" spans="1:23" ht="15">
      <c r="A128" s="8"/>
      <c r="B128" s="8"/>
      <c r="C128" s="8"/>
      <c r="D128" s="8"/>
      <c r="E128" s="8"/>
      <c r="F128" s="8"/>
      <c r="G128" s="8"/>
      <c r="H128" s="8"/>
      <c r="I128" s="8"/>
      <c r="J128" s="8"/>
      <c r="K128" s="8"/>
      <c r="L128" s="8"/>
      <c r="M128" s="8"/>
      <c r="N128" s="8"/>
      <c r="O128" s="8"/>
      <c r="P128" s="8"/>
      <c r="Q128" s="8"/>
      <c r="R128" s="8"/>
      <c r="S128" s="8"/>
      <c r="T128" s="8"/>
      <c r="U128" s="8"/>
      <c r="W128" s="5"/>
    </row>
    <row r="129" spans="1:23" ht="15">
      <c r="A129" s="173" t="s">
        <v>126</v>
      </c>
      <c r="B129" s="174" t="s">
        <v>138</v>
      </c>
      <c r="C129" s="173"/>
      <c r="D129" s="82"/>
      <c r="E129" s="58" t="s">
        <v>136</v>
      </c>
      <c r="F129" s="58"/>
      <c r="H129" s="58" t="s">
        <v>140</v>
      </c>
      <c r="I129" s="58"/>
      <c r="J129" s="8"/>
      <c r="K129" s="8"/>
      <c r="L129" s="8"/>
      <c r="M129" s="8"/>
      <c r="N129" s="8"/>
      <c r="O129" s="8"/>
      <c r="P129" s="8"/>
      <c r="Q129" s="8"/>
      <c r="R129" s="8"/>
      <c r="S129" s="8"/>
      <c r="T129" s="8"/>
      <c r="U129" s="8"/>
      <c r="W129" s="5"/>
    </row>
    <row r="130" spans="1:21" ht="15">
      <c r="A130" s="175">
        <f>INDEX(B29:U31,MATCH(MAX(U29:U31),U29:U31,0),20)</f>
        <v>0.18837088116572723</v>
      </c>
      <c r="B130" s="176">
        <f>INDEX(B29:U31,MATCH(MAX(U29:U31),U29:U31,0),13)</f>
        <v>626.55768</v>
      </c>
      <c r="C130" s="177" t="s">
        <v>139</v>
      </c>
      <c r="D130" s="66"/>
      <c r="E130" s="59" t="s">
        <v>2</v>
      </c>
      <c r="F130" s="44">
        <f>INDEX(B29:U31,MATCH(MAX(U29:U31),U29:U31,0),5)</f>
        <v>0.3</v>
      </c>
      <c r="H130" s="56" t="s">
        <v>141</v>
      </c>
      <c r="I130" s="57" t="s">
        <v>117</v>
      </c>
      <c r="J130" s="8"/>
      <c r="K130" s="8"/>
      <c r="L130" s="8"/>
      <c r="M130" s="8"/>
      <c r="N130" s="8"/>
      <c r="O130" s="8"/>
      <c r="P130" s="8"/>
      <c r="Q130" s="8"/>
      <c r="R130" s="8"/>
      <c r="S130" s="8"/>
      <c r="T130" s="8"/>
      <c r="U130" s="8"/>
    </row>
    <row r="131" spans="4:21" ht="15">
      <c r="D131" s="66"/>
      <c r="E131" s="54" t="s">
        <v>3</v>
      </c>
      <c r="F131" s="44">
        <f>INDEX(B29:U31,MATCH(MAX(U29:U31),U29:U31,0),6)</f>
        <v>0.39</v>
      </c>
      <c r="G131">
        <v>0</v>
      </c>
      <c r="H131" s="62">
        <f>INDEX(B29:U31,MATCH(MAX(U29:U31),U29:U31,0),14)</f>
        <v>-595</v>
      </c>
      <c r="I131" s="49">
        <f>H131</f>
        <v>-595</v>
      </c>
      <c r="J131" s="8"/>
      <c r="K131" s="8"/>
      <c r="L131" s="8"/>
      <c r="M131" s="8"/>
      <c r="N131" s="8"/>
      <c r="O131" s="8"/>
      <c r="P131" s="8"/>
      <c r="Q131" s="8"/>
      <c r="R131" s="8"/>
      <c r="S131" s="8"/>
      <c r="T131" s="8"/>
      <c r="U131" s="8"/>
    </row>
    <row r="132" spans="1:21" ht="15">
      <c r="A132" s="58" t="s">
        <v>135</v>
      </c>
      <c r="B132" s="58"/>
      <c r="E132" s="54" t="s">
        <v>4</v>
      </c>
      <c r="F132" s="44">
        <f>INDEX(B29:U31,MATCH(MAX(U29:U31),U29:U31,0),7)</f>
        <v>15.91</v>
      </c>
      <c r="G132">
        <v>1</v>
      </c>
      <c r="H132" s="55">
        <f>INDEX(B29:U31,MATCH(MAX(U29:U31),U29:U31,0),15)</f>
        <v>187.54959888</v>
      </c>
      <c r="I132" s="49">
        <f>I131+H132</f>
        <v>-407.45040112000004</v>
      </c>
      <c r="J132" s="8"/>
      <c r="K132" s="8"/>
      <c r="L132" s="8"/>
      <c r="M132" s="8"/>
      <c r="N132" s="8"/>
      <c r="O132" s="8"/>
      <c r="P132" s="8"/>
      <c r="Q132" s="8"/>
      <c r="R132" s="8"/>
      <c r="S132" s="8"/>
      <c r="T132" s="8"/>
      <c r="U132" s="8"/>
    </row>
    <row r="133" spans="1:21" ht="15">
      <c r="A133" s="44" t="str">
        <f>INDEX(B29:U31,MATCH(MAX(U29:U31),U29:U31,0),1)</f>
        <v>Dell</v>
      </c>
      <c r="B133" s="44" t="str">
        <f>INDEX(B29:U31,MATCH(MAX(U29:U31),U29:U31,0),2)</f>
        <v>IN1910Nb</v>
      </c>
      <c r="G133">
        <v>2</v>
      </c>
      <c r="H133" s="55">
        <f>INDEX(B29:U31,MATCH(MAX(U29:U31),U29:U31,0),16)</f>
        <v>191.3005908576</v>
      </c>
      <c r="I133" s="49">
        <f>I132+H133</f>
        <v>-216.14981026240002</v>
      </c>
      <c r="J133" s="8"/>
      <c r="K133" s="8"/>
      <c r="L133" s="8"/>
      <c r="M133" s="8"/>
      <c r="N133" s="8"/>
      <c r="O133" s="8"/>
      <c r="P133" s="8"/>
      <c r="Q133" s="8"/>
      <c r="R133" s="8"/>
      <c r="S133" s="8"/>
      <c r="T133" s="8"/>
      <c r="U133" s="8"/>
    </row>
    <row r="134" spans="4:21" ht="15">
      <c r="D134" s="66"/>
      <c r="E134" s="66"/>
      <c r="F134" s="66"/>
      <c r="G134">
        <v>3</v>
      </c>
      <c r="H134" s="55">
        <f>INDEX(B29:U31,MATCH(MAX(U29:U31),U29:U31,0),17)</f>
        <v>195.126602674752</v>
      </c>
      <c r="I134" s="49">
        <f>I133+H134</f>
        <v>-21.023207587648017</v>
      </c>
      <c r="J134" s="8"/>
      <c r="K134" s="8"/>
      <c r="L134" s="8"/>
      <c r="M134" s="8"/>
      <c r="N134" s="8"/>
      <c r="O134" s="8"/>
      <c r="P134" s="8"/>
      <c r="Q134" s="8"/>
      <c r="R134" s="8"/>
      <c r="S134" s="8"/>
      <c r="T134" s="8"/>
      <c r="U134" s="8"/>
    </row>
    <row r="135" spans="1:21" ht="15">
      <c r="A135" s="84" t="s">
        <v>137</v>
      </c>
      <c r="B135" s="84" t="s">
        <v>134</v>
      </c>
      <c r="D135" s="66"/>
      <c r="E135" s="82"/>
      <c r="F135" s="82"/>
      <c r="G135">
        <v>4</v>
      </c>
      <c r="H135" s="55">
        <f>INDEX(B29:U31,MATCH(MAX(U29:U31),U29:U31,0),18)</f>
        <v>199.02913472824704</v>
      </c>
      <c r="I135" s="49">
        <f>I134+H135</f>
        <v>178.00592714059903</v>
      </c>
      <c r="J135" s="8"/>
      <c r="K135" s="8"/>
      <c r="L135" s="8"/>
      <c r="M135" s="8"/>
      <c r="N135" s="8"/>
      <c r="O135" s="8"/>
      <c r="P135" s="8"/>
      <c r="Q135" s="8"/>
      <c r="R135" s="8"/>
      <c r="S135" s="8"/>
      <c r="T135" s="8"/>
      <c r="U135" s="8"/>
    </row>
    <row r="136" spans="1:21" ht="15">
      <c r="A136" s="63">
        <f>INDEX(B29:U31,MATCH(MAX(U29:U31),U29:U31,0),8)</f>
        <v>119</v>
      </c>
      <c r="B136" s="85" t="str">
        <f>INDEX(B29:U31,MATCH(MAX(U29:U31),U29:U31,0),4)</f>
        <v>1366x768</v>
      </c>
      <c r="D136" s="66"/>
      <c r="E136" s="66"/>
      <c r="F136" s="66"/>
      <c r="G136">
        <v>5</v>
      </c>
      <c r="H136" s="55">
        <f>INDEX(B29:U31,MATCH(MAX(U29:U31),U29:U31,0),19)</f>
        <v>203.009717422812</v>
      </c>
      <c r="I136" s="49">
        <f>I135+H136</f>
        <v>381.015644563411</v>
      </c>
      <c r="J136" s="8"/>
      <c r="K136" s="8"/>
      <c r="L136" s="8"/>
      <c r="M136" s="8"/>
      <c r="N136" s="8"/>
      <c r="O136" s="8"/>
      <c r="P136" s="8"/>
      <c r="Q136" s="8"/>
      <c r="R136" s="8"/>
      <c r="S136" s="8"/>
      <c r="T136" s="8"/>
      <c r="U136" s="8"/>
    </row>
    <row r="137" spans="3:21" ht="15">
      <c r="C137" s="8"/>
      <c r="D137" s="8"/>
      <c r="E137" s="8"/>
      <c r="F137" s="8"/>
      <c r="G137" s="8"/>
      <c r="H137" s="8"/>
      <c r="I137" s="8"/>
      <c r="J137" s="66"/>
      <c r="K137" s="51"/>
      <c r="L137" s="51"/>
      <c r="M137" s="51"/>
      <c r="N137" s="53"/>
      <c r="O137" s="53"/>
      <c r="P137" s="53"/>
      <c r="Q137" s="53"/>
      <c r="R137" s="53"/>
      <c r="S137" s="53"/>
      <c r="T137" s="53"/>
      <c r="U137" s="53"/>
    </row>
    <row r="138" spans="10:23" ht="15">
      <c r="J138" s="8"/>
      <c r="K138" s="51"/>
      <c r="L138" s="51"/>
      <c r="M138" s="51"/>
      <c r="N138" s="53"/>
      <c r="O138" s="53"/>
      <c r="P138" s="53"/>
      <c r="Q138" s="53"/>
      <c r="R138" s="53"/>
      <c r="S138" s="53"/>
      <c r="T138" s="53"/>
      <c r="U138" s="53"/>
      <c r="W138" s="52"/>
    </row>
    <row r="139" spans="10:23" ht="15">
      <c r="J139" s="8"/>
      <c r="K139" s="8"/>
      <c r="L139" s="8"/>
      <c r="M139" s="8"/>
      <c r="N139" s="8"/>
      <c r="O139" s="8"/>
      <c r="P139" s="8"/>
      <c r="Q139" s="8"/>
      <c r="R139" s="8"/>
      <c r="S139" s="8"/>
      <c r="T139" s="8"/>
      <c r="U139" s="53"/>
      <c r="W139" s="8"/>
    </row>
    <row r="140" spans="10:21" ht="15">
      <c r="J140" s="8"/>
      <c r="K140" s="8"/>
      <c r="L140" s="8"/>
      <c r="M140" s="51"/>
      <c r="N140" s="53"/>
      <c r="O140" s="53"/>
      <c r="P140" s="53"/>
      <c r="Q140" s="53"/>
      <c r="R140" s="53"/>
      <c r="S140" s="53"/>
      <c r="T140" s="53"/>
      <c r="U140" s="53"/>
    </row>
    <row r="141" spans="10:23" ht="15">
      <c r="J141" s="8"/>
      <c r="K141" s="8"/>
      <c r="L141" s="8"/>
      <c r="M141" s="8"/>
      <c r="N141" s="8"/>
      <c r="O141" s="8"/>
      <c r="P141" s="8"/>
      <c r="Q141" s="8"/>
      <c r="R141" s="8"/>
      <c r="S141" s="8"/>
      <c r="T141" s="8"/>
      <c r="U141" s="8"/>
      <c r="W141" s="5"/>
    </row>
    <row r="142" spans="10:21" ht="15">
      <c r="J142" s="8"/>
      <c r="K142" s="8"/>
      <c r="L142" s="8"/>
      <c r="M142" s="8"/>
      <c r="N142" s="8"/>
      <c r="O142" s="8"/>
      <c r="P142" s="8"/>
      <c r="Q142" s="8"/>
      <c r="R142" s="8"/>
      <c r="S142" s="8"/>
      <c r="T142" s="8"/>
      <c r="U142" s="8"/>
    </row>
    <row r="143" spans="10:21" ht="15">
      <c r="J143" s="8"/>
      <c r="K143" s="8"/>
      <c r="L143" s="8"/>
      <c r="M143" s="8"/>
      <c r="N143" s="8"/>
      <c r="O143" s="8"/>
      <c r="P143" s="8"/>
      <c r="Q143" s="8"/>
      <c r="R143" s="8"/>
      <c r="S143" s="8"/>
      <c r="T143" s="8"/>
      <c r="U143" s="8"/>
    </row>
    <row r="144" spans="10:21" ht="15">
      <c r="J144" s="8"/>
      <c r="K144" s="8"/>
      <c r="L144" s="8"/>
      <c r="M144" s="8"/>
      <c r="N144" s="8"/>
      <c r="O144" s="8"/>
      <c r="P144" s="8"/>
      <c r="Q144" s="8"/>
      <c r="R144" s="8"/>
      <c r="S144" s="8"/>
      <c r="T144" s="8"/>
      <c r="U144" s="8"/>
    </row>
    <row r="145" spans="10:21" ht="15">
      <c r="J145" s="8"/>
      <c r="K145" s="8"/>
      <c r="L145" s="8"/>
      <c r="M145" s="8"/>
      <c r="N145" s="8"/>
      <c r="O145" s="8"/>
      <c r="P145" s="8"/>
      <c r="Q145" s="8"/>
      <c r="R145" s="8"/>
      <c r="S145" s="8"/>
      <c r="T145" s="8"/>
      <c r="U145" s="8"/>
    </row>
    <row r="146" spans="10:21" ht="15">
      <c r="J146" s="8"/>
      <c r="K146" s="8"/>
      <c r="L146" s="8"/>
      <c r="M146" s="8"/>
      <c r="N146" s="8"/>
      <c r="O146" s="8"/>
      <c r="P146" s="8"/>
      <c r="Q146" s="8"/>
      <c r="R146" s="8"/>
      <c r="S146" s="8"/>
      <c r="T146" s="8"/>
      <c r="U146" s="8"/>
    </row>
    <row r="147" spans="10:21" ht="15">
      <c r="J147" s="8"/>
      <c r="K147" s="67"/>
      <c r="L147" s="67"/>
      <c r="M147" s="8"/>
      <c r="N147" s="8"/>
      <c r="O147" s="8"/>
      <c r="P147" s="8"/>
      <c r="Q147" s="8"/>
      <c r="R147" s="8"/>
      <c r="S147" s="8"/>
      <c r="T147" s="8"/>
      <c r="U147" s="8"/>
    </row>
    <row r="148" spans="10:23" ht="15">
      <c r="J148" s="8"/>
      <c r="K148" s="8"/>
      <c r="L148" s="8"/>
      <c r="M148" s="8"/>
      <c r="N148" s="8"/>
      <c r="O148" s="8"/>
      <c r="P148" s="8"/>
      <c r="Q148" s="8"/>
      <c r="R148" s="8"/>
      <c r="S148" s="8"/>
      <c r="T148" s="8"/>
      <c r="U148" s="8"/>
      <c r="W148" s="5"/>
    </row>
    <row r="149" spans="1:21" ht="15">
      <c r="A149" s="60" t="s">
        <v>128</v>
      </c>
      <c r="B149" s="4"/>
      <c r="C149" s="4"/>
      <c r="D149" s="4"/>
      <c r="E149" s="4"/>
      <c r="F149" s="4"/>
      <c r="G149" s="4"/>
      <c r="H149" s="4"/>
      <c r="I149" s="4"/>
      <c r="J149" s="8"/>
      <c r="K149" s="8"/>
      <c r="L149" s="8"/>
      <c r="M149" s="8"/>
      <c r="N149" s="8"/>
      <c r="O149" s="8"/>
      <c r="P149" s="8"/>
      <c r="Q149" s="8"/>
      <c r="R149" s="8"/>
      <c r="S149" s="8"/>
      <c r="T149" s="8"/>
      <c r="U149" s="8"/>
    </row>
    <row r="150" spans="10:21" ht="15">
      <c r="J150" s="8"/>
      <c r="K150" s="8"/>
      <c r="L150" s="8"/>
      <c r="M150" s="8"/>
      <c r="N150" s="8"/>
      <c r="O150" s="8"/>
      <c r="P150" s="8"/>
      <c r="Q150" s="8"/>
      <c r="R150" s="8"/>
      <c r="S150" s="8"/>
      <c r="T150" s="8"/>
      <c r="U150" s="8"/>
    </row>
    <row r="151" spans="1:21" ht="15">
      <c r="A151" s="173" t="s">
        <v>126</v>
      </c>
      <c r="B151" s="174" t="s">
        <v>138</v>
      </c>
      <c r="C151" s="173"/>
      <c r="E151" s="58" t="s">
        <v>136</v>
      </c>
      <c r="F151" s="58"/>
      <c r="H151" s="58" t="s">
        <v>140</v>
      </c>
      <c r="I151" s="58"/>
      <c r="J151" s="8"/>
      <c r="K151" s="8"/>
      <c r="L151" s="8"/>
      <c r="M151" s="8"/>
      <c r="N151" s="8"/>
      <c r="O151" s="8"/>
      <c r="P151" s="8"/>
      <c r="Q151" s="8"/>
      <c r="R151" s="8"/>
      <c r="S151" s="8"/>
      <c r="T151" s="8"/>
      <c r="U151" s="8"/>
    </row>
    <row r="152" spans="1:23" ht="15">
      <c r="A152" s="178">
        <f>INDEX(B33:U48,MATCH(MAX(U33:U48),U33:U48,0),20)</f>
        <v>0.04857192421467119</v>
      </c>
      <c r="B152" s="176">
        <f>INDEX(B33:U48,MATCH(MAX(U33:U48),U33:U48,0),13)</f>
        <v>625.16484</v>
      </c>
      <c r="C152" s="179" t="s">
        <v>139</v>
      </c>
      <c r="E152" s="59" t="s">
        <v>2</v>
      </c>
      <c r="F152" s="44">
        <f>INDEX(B33:U48,MATCH(MAX(U33:U48),U33:U48,0),5)</f>
        <v>0.39</v>
      </c>
      <c r="H152" s="56" t="s">
        <v>141</v>
      </c>
      <c r="I152" s="57" t="s">
        <v>117</v>
      </c>
      <c r="J152" s="8"/>
      <c r="K152" s="8"/>
      <c r="L152" s="8"/>
      <c r="M152" s="8"/>
      <c r="N152" s="8"/>
      <c r="O152" s="8"/>
      <c r="P152" s="8"/>
      <c r="Q152" s="8"/>
      <c r="R152" s="8"/>
      <c r="S152" s="8"/>
      <c r="T152" s="8"/>
      <c r="U152" s="8"/>
      <c r="W152" s="52"/>
    </row>
    <row r="153" spans="5:23" ht="15">
      <c r="E153" s="54" t="s">
        <v>3</v>
      </c>
      <c r="F153" s="44">
        <f>INDEX(B33:U48,MATCH(MAX(U33:U48),U33:U48,0),6)</f>
        <v>0.44</v>
      </c>
      <c r="G153">
        <v>0</v>
      </c>
      <c r="H153" s="62">
        <f>INDEX(B33:U48,MATCH(MAX(U33:U48),U33:U48,0),14)</f>
        <v>-845</v>
      </c>
      <c r="I153" s="49">
        <f>H153</f>
        <v>-845</v>
      </c>
      <c r="J153" s="8"/>
      <c r="K153" s="8"/>
      <c r="L153" s="8"/>
      <c r="M153" s="8"/>
      <c r="N153" s="8"/>
      <c r="O153" s="8"/>
      <c r="P153" s="8"/>
      <c r="Q153" s="8"/>
      <c r="R153" s="8"/>
      <c r="S153" s="8"/>
      <c r="T153" s="8"/>
      <c r="U153" s="8"/>
      <c r="W153" s="8"/>
    </row>
    <row r="154" spans="1:21" ht="15">
      <c r="A154" s="58" t="s">
        <v>135</v>
      </c>
      <c r="B154" s="58"/>
      <c r="E154" s="54" t="s">
        <v>4</v>
      </c>
      <c r="F154" s="44">
        <f>INDEX(B33:U48,MATCH(MAX(U33:U48),U33:U48,0),7)</f>
        <v>18.3</v>
      </c>
      <c r="G154">
        <v>1</v>
      </c>
      <c r="H154" s="55">
        <f>INDEX(B33:U48,MATCH(MAX(U33:U48),U33:U48,0),15)</f>
        <v>187.13267544000004</v>
      </c>
      <c r="I154" s="49">
        <f>H154+I153</f>
        <v>-657.8673245599999</v>
      </c>
      <c r="J154" s="8"/>
      <c r="K154" s="8"/>
      <c r="L154" s="8"/>
      <c r="M154" s="8"/>
      <c r="N154" s="8"/>
      <c r="O154" s="8"/>
      <c r="P154" s="8"/>
      <c r="Q154" s="8"/>
      <c r="R154" s="8"/>
      <c r="S154" s="8"/>
      <c r="T154" s="8"/>
      <c r="U154" s="8"/>
    </row>
    <row r="155" spans="1:21" ht="15">
      <c r="A155" s="44" t="str">
        <f>INDEX(B33:U48,MATCH(MAX(U33:U48),U33:U48,0),1)</f>
        <v>HP</v>
      </c>
      <c r="B155" s="44" t="str">
        <f>INDEX(B33:U48,MATCH(MAX(U33:U48),U33:U48,0),2)</f>
        <v>LE1901w</v>
      </c>
      <c r="G155">
        <v>2</v>
      </c>
      <c r="H155" s="55">
        <f>INDEX(B33:U48,MATCH(MAX(U33:U48),U33:U48,0),16)</f>
        <v>190.87532894880005</v>
      </c>
      <c r="I155" s="49">
        <f>H155+I154</f>
        <v>-466.99199561119985</v>
      </c>
      <c r="J155" s="8"/>
      <c r="K155" s="8"/>
      <c r="L155" s="8"/>
      <c r="M155" s="8"/>
      <c r="N155" s="8"/>
      <c r="O155" s="8"/>
      <c r="P155" s="8"/>
      <c r="Q155" s="8"/>
      <c r="R155" s="8"/>
      <c r="S155" s="8"/>
      <c r="T155" s="8"/>
      <c r="U155" s="8"/>
    </row>
    <row r="156" spans="7:23" ht="15">
      <c r="G156">
        <v>3</v>
      </c>
      <c r="H156" s="55">
        <f>INDEX(B33:U48,MATCH(MAX(U33:U48),U33:U48,0),17)</f>
        <v>194.69283552777605</v>
      </c>
      <c r="I156" s="49">
        <f>H156+I155</f>
        <v>-272.29916008342377</v>
      </c>
      <c r="J156" s="8"/>
      <c r="K156" s="8"/>
      <c r="L156" s="8"/>
      <c r="M156" s="8"/>
      <c r="N156" s="8"/>
      <c r="O156" s="8"/>
      <c r="P156" s="8"/>
      <c r="Q156" s="8"/>
      <c r="R156" s="8"/>
      <c r="S156" s="8"/>
      <c r="T156" s="8"/>
      <c r="U156" s="8"/>
      <c r="W156" s="5"/>
    </row>
    <row r="157" spans="1:21" ht="15">
      <c r="A157" s="84" t="s">
        <v>137</v>
      </c>
      <c r="B157" s="84" t="s">
        <v>134</v>
      </c>
      <c r="D157" s="66"/>
      <c r="E157" s="82"/>
      <c r="F157" s="82"/>
      <c r="G157">
        <v>4</v>
      </c>
      <c r="H157" s="55">
        <f>INDEX(B33:U48,MATCH(MAX(U33:U48),U33:U48,0),18)</f>
        <v>198.58669223833158</v>
      </c>
      <c r="I157" s="49">
        <f>H157+I156</f>
        <v>-73.71246784509219</v>
      </c>
      <c r="J157" s="8"/>
      <c r="K157" s="8"/>
      <c r="L157" s="8"/>
      <c r="M157" s="8"/>
      <c r="N157" s="8"/>
      <c r="O157" s="8"/>
      <c r="P157" s="8"/>
      <c r="Q157" s="8"/>
      <c r="R157" s="8"/>
      <c r="S157" s="8"/>
      <c r="T157" s="8"/>
      <c r="U157" s="8"/>
    </row>
    <row r="158" spans="1:21" ht="15">
      <c r="A158" s="63">
        <f>INDEX(B33:U48,MATCH(MAX(U33:U48),U33:U48,0),8)</f>
        <v>169</v>
      </c>
      <c r="B158" s="85" t="str">
        <f>INDEX(B33:U48,MATCH(MAX(U33:U48),U33:U48,0),4)</f>
        <v>1440x900</v>
      </c>
      <c r="D158" s="66"/>
      <c r="E158" s="66"/>
      <c r="F158" s="66"/>
      <c r="G158" s="66">
        <v>5</v>
      </c>
      <c r="H158" s="55">
        <f>INDEX(B33:U48,MATCH(MAX(U33:U48),U33:U48,0),19)</f>
        <v>202.55842608309823</v>
      </c>
      <c r="I158" s="49">
        <f>H158+I157</f>
        <v>128.84595823800603</v>
      </c>
      <c r="J158" s="8"/>
      <c r="K158" s="8"/>
      <c r="L158" s="8"/>
      <c r="M158" s="8"/>
      <c r="N158" s="8"/>
      <c r="O158" s="8"/>
      <c r="P158" s="8"/>
      <c r="Q158" s="8"/>
      <c r="R158" s="8"/>
      <c r="S158" s="8"/>
      <c r="T158" s="8"/>
      <c r="U158" s="8"/>
    </row>
    <row r="159" spans="10:21" ht="15">
      <c r="J159" s="8"/>
      <c r="K159" s="8"/>
      <c r="L159" s="8"/>
      <c r="M159" s="8"/>
      <c r="N159" s="8"/>
      <c r="O159" s="8"/>
      <c r="P159" s="8"/>
      <c r="Q159" s="8"/>
      <c r="R159" s="8"/>
      <c r="S159" s="8"/>
      <c r="T159" s="8"/>
      <c r="U159" s="8"/>
    </row>
    <row r="160" spans="10:23" ht="15">
      <c r="J160" s="8"/>
      <c r="K160" s="8"/>
      <c r="L160" s="8"/>
      <c r="M160" s="8"/>
      <c r="N160" s="8"/>
      <c r="O160" s="8"/>
      <c r="P160" s="8"/>
      <c r="Q160" s="8"/>
      <c r="R160" s="8"/>
      <c r="S160" s="8"/>
      <c r="T160" s="8"/>
      <c r="U160" s="8"/>
      <c r="W160" s="5"/>
    </row>
    <row r="161" spans="10:23" ht="15">
      <c r="J161" s="8"/>
      <c r="K161" s="8"/>
      <c r="L161" s="8"/>
      <c r="M161" s="8"/>
      <c r="N161" s="8"/>
      <c r="O161" s="8"/>
      <c r="P161" s="8"/>
      <c r="Q161" s="8"/>
      <c r="R161" s="8"/>
      <c r="S161" s="8"/>
      <c r="T161" s="8"/>
      <c r="U161" s="8"/>
      <c r="W161" s="5"/>
    </row>
    <row r="162" spans="10:21" ht="15">
      <c r="J162" s="8"/>
      <c r="K162" s="8"/>
      <c r="L162" s="8"/>
      <c r="M162" s="8"/>
      <c r="N162" s="8"/>
      <c r="O162" s="8"/>
      <c r="P162" s="8"/>
      <c r="Q162" s="8"/>
      <c r="R162" s="8"/>
      <c r="S162" s="8"/>
      <c r="T162" s="8"/>
      <c r="U162" s="8"/>
    </row>
    <row r="163" spans="10:21" ht="15">
      <c r="J163" s="8"/>
      <c r="K163" s="8"/>
      <c r="L163" s="8"/>
      <c r="M163" s="8"/>
      <c r="N163" s="8"/>
      <c r="O163" s="8"/>
      <c r="P163" s="8"/>
      <c r="Q163" s="8"/>
      <c r="R163" s="8"/>
      <c r="S163" s="8"/>
      <c r="T163" s="8"/>
      <c r="U163" s="8"/>
    </row>
    <row r="164" spans="10:21" ht="15">
      <c r="J164" s="8"/>
      <c r="K164" s="8"/>
      <c r="L164" s="8"/>
      <c r="M164" s="8"/>
      <c r="N164" s="8"/>
      <c r="O164" s="8"/>
      <c r="P164" s="8"/>
      <c r="Q164" s="8"/>
      <c r="R164" s="8"/>
      <c r="S164" s="8"/>
      <c r="T164" s="8"/>
      <c r="U164" s="8"/>
    </row>
    <row r="165" spans="10:21" ht="15">
      <c r="J165" s="8"/>
      <c r="K165" s="8"/>
      <c r="L165" s="8"/>
      <c r="M165" s="8"/>
      <c r="N165" s="8"/>
      <c r="O165" s="8"/>
      <c r="P165" s="8"/>
      <c r="Q165" s="8"/>
      <c r="R165" s="8"/>
      <c r="S165" s="8"/>
      <c r="T165" s="8"/>
      <c r="U165" s="8"/>
    </row>
    <row r="166" spans="10:21" ht="15">
      <c r="J166" s="8"/>
      <c r="K166" s="8"/>
      <c r="L166" s="8"/>
      <c r="M166" s="8"/>
      <c r="N166" s="8"/>
      <c r="O166" s="8"/>
      <c r="P166" s="8"/>
      <c r="Q166" s="8"/>
      <c r="R166" s="8"/>
      <c r="S166" s="8"/>
      <c r="T166" s="8"/>
      <c r="U166" s="8"/>
    </row>
    <row r="167" spans="10:23" ht="15">
      <c r="J167" s="8"/>
      <c r="K167" s="8"/>
      <c r="L167" s="8"/>
      <c r="M167" s="8"/>
      <c r="N167" s="8"/>
      <c r="O167" s="8"/>
      <c r="P167" s="8"/>
      <c r="Q167" s="8"/>
      <c r="R167" s="8"/>
      <c r="S167" s="8"/>
      <c r="T167" s="8"/>
      <c r="U167" s="8"/>
      <c r="W167" s="52"/>
    </row>
    <row r="168" spans="10:23" ht="15">
      <c r="J168" s="8"/>
      <c r="K168" s="8"/>
      <c r="L168" s="8"/>
      <c r="M168" s="8"/>
      <c r="N168" s="8"/>
      <c r="O168" s="8"/>
      <c r="P168" s="8"/>
      <c r="Q168" s="8"/>
      <c r="R168" s="8"/>
      <c r="S168" s="8"/>
      <c r="T168" s="8"/>
      <c r="U168" s="8"/>
      <c r="W168" s="8"/>
    </row>
    <row r="169" spans="10:21" ht="15">
      <c r="J169" s="8"/>
      <c r="K169" s="8"/>
      <c r="L169" s="8"/>
      <c r="M169" s="8"/>
      <c r="N169" s="8"/>
      <c r="O169" s="8"/>
      <c r="P169" s="8"/>
      <c r="Q169" s="8"/>
      <c r="R169" s="8"/>
      <c r="S169" s="8"/>
      <c r="T169" s="8"/>
      <c r="U169" s="8"/>
    </row>
    <row r="170" spans="3:21" ht="15">
      <c r="C170" s="8"/>
      <c r="D170" s="8"/>
      <c r="E170" s="8"/>
      <c r="F170" s="8"/>
      <c r="G170" s="8"/>
      <c r="H170" s="8"/>
      <c r="I170" s="8"/>
      <c r="J170" s="66"/>
      <c r="K170" s="8"/>
      <c r="L170" s="8"/>
      <c r="M170" s="8"/>
      <c r="N170" s="8"/>
      <c r="O170" s="8"/>
      <c r="P170" s="8"/>
      <c r="Q170" s="8"/>
      <c r="R170" s="8"/>
      <c r="S170" s="8"/>
      <c r="T170" s="8"/>
      <c r="U170" s="8"/>
    </row>
    <row r="171" spans="1:21" ht="15">
      <c r="A171" s="60" t="s">
        <v>129</v>
      </c>
      <c r="B171" s="4"/>
      <c r="C171" s="4"/>
      <c r="D171" s="4"/>
      <c r="E171" s="4"/>
      <c r="F171" s="4"/>
      <c r="G171" s="4"/>
      <c r="H171" s="4"/>
      <c r="I171" s="4"/>
      <c r="J171" s="8"/>
      <c r="K171" s="8"/>
      <c r="L171" s="8"/>
      <c r="M171" s="8"/>
      <c r="N171" s="8"/>
      <c r="O171" s="8"/>
      <c r="P171" s="8"/>
      <c r="Q171" s="8"/>
      <c r="R171" s="8"/>
      <c r="S171" s="8"/>
      <c r="T171" s="8"/>
      <c r="U171" s="8"/>
    </row>
    <row r="172" spans="8:21" ht="15">
      <c r="H172" s="50"/>
      <c r="J172" s="8"/>
      <c r="K172" s="8"/>
      <c r="L172" s="8"/>
      <c r="M172" s="8"/>
      <c r="N172" s="8"/>
      <c r="O172" s="8"/>
      <c r="P172" s="8"/>
      <c r="Q172" s="8"/>
      <c r="R172" s="8"/>
      <c r="S172" s="8"/>
      <c r="T172" s="8"/>
      <c r="U172" s="8"/>
    </row>
    <row r="173" spans="1:21" ht="15">
      <c r="A173" s="173" t="s">
        <v>126</v>
      </c>
      <c r="B173" s="174" t="s">
        <v>138</v>
      </c>
      <c r="C173" s="173"/>
      <c r="E173" s="58" t="s">
        <v>136</v>
      </c>
      <c r="F173" s="58"/>
      <c r="H173" s="58" t="s">
        <v>140</v>
      </c>
      <c r="I173" s="58"/>
      <c r="J173" s="8"/>
      <c r="K173" s="8"/>
      <c r="L173" s="8"/>
      <c r="M173" s="8"/>
      <c r="N173" s="8"/>
      <c r="O173" s="8"/>
      <c r="P173" s="8"/>
      <c r="Q173" s="8"/>
      <c r="R173" s="8"/>
      <c r="S173" s="8"/>
      <c r="T173" s="8"/>
      <c r="U173" s="8"/>
    </row>
    <row r="174" spans="1:21" ht="15">
      <c r="A174" s="178">
        <f>INDEX(B50:U59,MATCH(MAX(U50:U59),U50:U59,0),20)</f>
        <v>0.12107656890713425</v>
      </c>
      <c r="B174" s="176">
        <f>INDEX(B50:U59,MATCH(MAX(U50:U59),U50:U59,0),13)</f>
        <v>623.2975200000001</v>
      </c>
      <c r="C174" s="177" t="s">
        <v>139</v>
      </c>
      <c r="E174" s="59" t="s">
        <v>2</v>
      </c>
      <c r="F174" s="44">
        <f>INDEX(B50:U59,MATCH(MAX(U50:U59),U50:U59,0),5)</f>
        <v>0.32</v>
      </c>
      <c r="H174" s="56" t="s">
        <v>141</v>
      </c>
      <c r="I174" s="57" t="s">
        <v>117</v>
      </c>
      <c r="J174" s="8"/>
      <c r="K174" s="8"/>
      <c r="L174" s="8"/>
      <c r="M174" s="8"/>
      <c r="N174" s="8"/>
      <c r="O174" s="8"/>
      <c r="P174" s="8"/>
      <c r="Q174" s="8"/>
      <c r="R174" s="8"/>
      <c r="S174" s="8"/>
      <c r="T174" s="8"/>
      <c r="U174" s="8"/>
    </row>
    <row r="175" spans="5:21" ht="15">
      <c r="E175" s="54" t="s">
        <v>3</v>
      </c>
      <c r="F175" s="44">
        <f>INDEX(B50:U59,MATCH(MAX(U50:U59),U50:U59,0),6)</f>
        <v>0.44</v>
      </c>
      <c r="G175">
        <v>0</v>
      </c>
      <c r="H175" s="62">
        <f>INDEX(B50:U59,MATCH(MAX(U50:U59),U50:U59,0),14)</f>
        <v>-695</v>
      </c>
      <c r="I175" s="49">
        <f>H175</f>
        <v>-695</v>
      </c>
      <c r="J175" s="8"/>
      <c r="K175" s="8"/>
      <c r="L175" s="8"/>
      <c r="M175" s="8"/>
      <c r="N175" s="8"/>
      <c r="O175" s="8"/>
      <c r="P175" s="8"/>
      <c r="Q175" s="8"/>
      <c r="R175" s="8"/>
      <c r="S175" s="8"/>
      <c r="T175" s="8"/>
      <c r="U175" s="8"/>
    </row>
    <row r="176" spans="1:23" ht="15">
      <c r="A176" s="58" t="s">
        <v>135</v>
      </c>
      <c r="B176" s="58"/>
      <c r="E176" s="54" t="s">
        <v>4</v>
      </c>
      <c r="F176" s="44">
        <f>INDEX(B50:U59,MATCH(MAX(U50:U59),U50:U59,0),7)</f>
        <v>22.29</v>
      </c>
      <c r="G176">
        <v>1</v>
      </c>
      <c r="H176" s="55">
        <f>INDEX(B50:U59,MATCH(MAX(U50:U59),U50:U59,0),15)</f>
        <v>186.57372432000003</v>
      </c>
      <c r="I176" s="49">
        <f>H176+I175</f>
        <v>-508.42627568</v>
      </c>
      <c r="J176" s="8"/>
      <c r="K176" s="8"/>
      <c r="L176" s="8"/>
      <c r="M176" s="8"/>
      <c r="N176" s="8"/>
      <c r="O176" s="8"/>
      <c r="P176" s="8"/>
      <c r="Q176" s="8"/>
      <c r="R176" s="8"/>
      <c r="S176" s="8"/>
      <c r="T176" s="8"/>
      <c r="U176" s="8"/>
      <c r="W176" s="5"/>
    </row>
    <row r="177" spans="1:23" ht="15">
      <c r="A177" s="44" t="str">
        <f>INDEX(B50:U59,MATCH(MAX(U50:U59),U50:U59,0),1)</f>
        <v>Dell</v>
      </c>
      <c r="B177" s="44" t="str">
        <f>INDEX(B50:U59,MATCH(MAX(U50:U59),U50:U59,0),2)</f>
        <v>IN2010Nb</v>
      </c>
      <c r="G177">
        <v>2</v>
      </c>
      <c r="H177" s="55">
        <f>INDEX(B50:U59,MATCH(MAX(U50:U59),U50:U59,0),16)</f>
        <v>190.30519880640006</v>
      </c>
      <c r="I177" s="49">
        <f>H177+I176</f>
        <v>-318.1210768735999</v>
      </c>
      <c r="J177" s="8"/>
      <c r="K177" s="8"/>
      <c r="L177" s="8"/>
      <c r="M177" s="8"/>
      <c r="N177" s="8"/>
      <c r="O177" s="8"/>
      <c r="P177" s="8"/>
      <c r="Q177" s="8"/>
      <c r="R177" s="8"/>
      <c r="S177" s="8"/>
      <c r="T177" s="8"/>
      <c r="U177" s="8"/>
      <c r="W177" s="5"/>
    </row>
    <row r="178" spans="4:21" ht="15">
      <c r="D178" s="66"/>
      <c r="E178" s="66"/>
      <c r="F178" s="66"/>
      <c r="G178">
        <v>3</v>
      </c>
      <c r="H178" s="55">
        <f>INDEX(B50:U59,MATCH(MAX(U50:U59),U50:U59,0),17)</f>
        <v>194.11130278252804</v>
      </c>
      <c r="I178" s="49">
        <f>H178+I177</f>
        <v>-124.00977409107188</v>
      </c>
      <c r="J178" s="8"/>
      <c r="K178" s="8"/>
      <c r="L178" s="8"/>
      <c r="M178" s="8"/>
      <c r="N178" s="8"/>
      <c r="O178" s="8"/>
      <c r="P178" s="8"/>
      <c r="Q178" s="8"/>
      <c r="R178" s="8"/>
      <c r="S178" s="8"/>
      <c r="T178" s="8"/>
      <c r="U178" s="8"/>
    </row>
    <row r="179" spans="1:21" ht="15">
      <c r="A179" s="84" t="s">
        <v>137</v>
      </c>
      <c r="B179" s="84" t="s">
        <v>134</v>
      </c>
      <c r="D179" s="66"/>
      <c r="E179" s="82"/>
      <c r="F179" s="82"/>
      <c r="G179">
        <v>4</v>
      </c>
      <c r="H179" s="55">
        <f>INDEX(B50:U59,MATCH(MAX(U50:U59),U50:U59,0),18)</f>
        <v>197.9935288381786</v>
      </c>
      <c r="I179" s="49">
        <f>H179+I178</f>
        <v>73.98375474710673</v>
      </c>
      <c r="J179" s="8"/>
      <c r="K179" s="8"/>
      <c r="L179" s="8"/>
      <c r="M179" s="8"/>
      <c r="N179" s="8"/>
      <c r="O179" s="8"/>
      <c r="P179" s="8"/>
      <c r="Q179" s="8"/>
      <c r="R179" s="8"/>
      <c r="S179" s="8"/>
      <c r="T179" s="8"/>
      <c r="U179" s="8"/>
    </row>
    <row r="180" spans="1:21" ht="15">
      <c r="A180" s="63">
        <f>INDEX(B50:U59,MATCH(MAX(U50:U59),U50:U59,0),8)</f>
        <v>139</v>
      </c>
      <c r="B180" s="85" t="str">
        <f>INDEX(B50:U59,MATCH(MAX(U50:U59),U50:U59,0),4)</f>
        <v>1600x900</v>
      </c>
      <c r="D180" s="66"/>
      <c r="E180" s="66"/>
      <c r="F180" s="66"/>
      <c r="G180" s="66">
        <v>5</v>
      </c>
      <c r="H180" s="55">
        <f>INDEX(B50:U59,MATCH(MAX(U50:U59),U50:U59,0),19)</f>
        <v>201.9533994149422</v>
      </c>
      <c r="I180" s="49">
        <f>H180+I179</f>
        <v>275.93715416204896</v>
      </c>
      <c r="J180" s="8"/>
      <c r="K180" s="8"/>
      <c r="L180" s="8"/>
      <c r="M180" s="8"/>
      <c r="N180" s="8"/>
      <c r="O180" s="8"/>
      <c r="P180" s="8"/>
      <c r="Q180" s="8"/>
      <c r="R180" s="8"/>
      <c r="S180" s="8"/>
      <c r="T180" s="8"/>
      <c r="U180" s="8"/>
    </row>
    <row r="181" spans="3:23" ht="15">
      <c r="C181" s="8"/>
      <c r="D181" s="8"/>
      <c r="E181" s="8"/>
      <c r="F181" s="8"/>
      <c r="G181" s="8"/>
      <c r="H181" s="8"/>
      <c r="I181" s="8"/>
      <c r="J181" s="66"/>
      <c r="K181" s="67"/>
      <c r="L181" s="67"/>
      <c r="M181" s="51"/>
      <c r="N181" s="53"/>
      <c r="O181" s="53"/>
      <c r="P181" s="53"/>
      <c r="Q181" s="53"/>
      <c r="R181" s="53"/>
      <c r="S181" s="53"/>
      <c r="T181" s="53"/>
      <c r="U181" s="53"/>
      <c r="W181" s="8"/>
    </row>
    <row r="182" spans="10:23" ht="15">
      <c r="J182" s="8"/>
      <c r="K182" s="51"/>
      <c r="L182" s="51"/>
      <c r="M182" s="51"/>
      <c r="N182" s="53"/>
      <c r="O182" s="53"/>
      <c r="P182" s="53"/>
      <c r="Q182" s="53"/>
      <c r="R182" s="53"/>
      <c r="S182" s="53"/>
      <c r="T182" s="53"/>
      <c r="U182" s="53"/>
      <c r="W182" s="52"/>
    </row>
    <row r="183" spans="10:23" ht="15">
      <c r="J183" s="8"/>
      <c r="K183" s="51"/>
      <c r="L183" s="51"/>
      <c r="M183" s="8"/>
      <c r="N183" s="8"/>
      <c r="O183" s="8"/>
      <c r="P183" s="8"/>
      <c r="Q183" s="8"/>
      <c r="R183" s="8"/>
      <c r="S183" s="8"/>
      <c r="T183" s="8"/>
      <c r="U183" s="8"/>
      <c r="W183" s="8"/>
    </row>
    <row r="184" spans="10:23" ht="15">
      <c r="J184" s="8"/>
      <c r="K184" s="51"/>
      <c r="L184" s="51"/>
      <c r="M184" s="8"/>
      <c r="N184" s="8"/>
      <c r="O184" s="8"/>
      <c r="P184" s="8"/>
      <c r="Q184" s="8"/>
      <c r="R184" s="8"/>
      <c r="S184" s="8"/>
      <c r="T184" s="8"/>
      <c r="U184" s="8"/>
      <c r="W184" s="8"/>
    </row>
    <row r="185" spans="10:23" ht="15">
      <c r="J185" s="8"/>
      <c r="K185" s="8"/>
      <c r="L185" s="8"/>
      <c r="M185" s="8"/>
      <c r="N185" s="8"/>
      <c r="O185" s="8"/>
      <c r="P185" s="8"/>
      <c r="Q185" s="8"/>
      <c r="R185" s="8"/>
      <c r="S185" s="8"/>
      <c r="T185" s="8"/>
      <c r="U185" s="8"/>
      <c r="W185" s="5"/>
    </row>
    <row r="186" spans="10:23" ht="15">
      <c r="J186" s="8"/>
      <c r="K186" s="8"/>
      <c r="L186" s="8"/>
      <c r="M186" s="8"/>
      <c r="N186" s="8"/>
      <c r="O186" s="8"/>
      <c r="P186" s="8"/>
      <c r="Q186" s="8"/>
      <c r="R186" s="8"/>
      <c r="S186" s="8"/>
      <c r="T186" s="8"/>
      <c r="U186" s="8"/>
      <c r="W186" s="5"/>
    </row>
    <row r="187" spans="10:21" ht="15">
      <c r="J187" s="8"/>
      <c r="K187" s="8"/>
      <c r="L187" s="8"/>
      <c r="M187" s="8"/>
      <c r="N187" s="8"/>
      <c r="O187" s="8"/>
      <c r="P187" s="8"/>
      <c r="Q187" s="8"/>
      <c r="R187" s="8"/>
      <c r="S187" s="8"/>
      <c r="T187" s="8"/>
      <c r="U187" s="8"/>
    </row>
    <row r="188" spans="10:21" ht="15">
      <c r="J188" s="8"/>
      <c r="K188" s="8"/>
      <c r="L188" s="8"/>
      <c r="M188" s="8"/>
      <c r="N188" s="8"/>
      <c r="O188" s="8"/>
      <c r="P188" s="8"/>
      <c r="Q188" s="8"/>
      <c r="R188" s="8"/>
      <c r="S188" s="8"/>
      <c r="T188" s="8"/>
      <c r="U188" s="8"/>
    </row>
    <row r="189" spans="10:21" ht="15">
      <c r="J189" s="8"/>
      <c r="K189" s="8"/>
      <c r="L189" s="8"/>
      <c r="M189" s="8"/>
      <c r="N189" s="8"/>
      <c r="O189" s="8"/>
      <c r="P189" s="8"/>
      <c r="Q189" s="8"/>
      <c r="R189" s="8"/>
      <c r="S189" s="8"/>
      <c r="T189" s="8"/>
      <c r="U189" s="8"/>
    </row>
    <row r="190" spans="10:21" ht="15">
      <c r="J190" s="8"/>
      <c r="K190" s="8"/>
      <c r="L190" s="8"/>
      <c r="M190" s="8"/>
      <c r="N190" s="8"/>
      <c r="O190" s="8"/>
      <c r="P190" s="8"/>
      <c r="Q190" s="8"/>
      <c r="R190" s="8"/>
      <c r="S190" s="8"/>
      <c r="T190" s="8"/>
      <c r="U190" s="8"/>
    </row>
    <row r="191" spans="10:21" ht="15">
      <c r="J191" s="8"/>
      <c r="K191" s="8"/>
      <c r="L191" s="8"/>
      <c r="M191" s="8"/>
      <c r="N191" s="8"/>
      <c r="O191" s="8"/>
      <c r="P191" s="8"/>
      <c r="Q191" s="8"/>
      <c r="R191" s="8"/>
      <c r="S191" s="8"/>
      <c r="T191" s="8"/>
      <c r="U191" s="8"/>
    </row>
    <row r="192" spans="10:21" ht="15">
      <c r="J192" s="8"/>
      <c r="K192" s="8"/>
      <c r="L192" s="8"/>
      <c r="M192" s="8"/>
      <c r="N192" s="8"/>
      <c r="O192" s="8"/>
      <c r="P192" s="8"/>
      <c r="Q192" s="8"/>
      <c r="R192" s="8"/>
      <c r="S192" s="8"/>
      <c r="T192" s="8"/>
      <c r="U192" s="8"/>
    </row>
    <row r="193" spans="1:21" ht="15">
      <c r="A193" s="60" t="s">
        <v>133</v>
      </c>
      <c r="B193" s="4"/>
      <c r="C193" s="4"/>
      <c r="D193" s="4"/>
      <c r="E193" s="4"/>
      <c r="F193" s="4"/>
      <c r="G193" s="4"/>
      <c r="H193" s="61"/>
      <c r="I193" s="4"/>
      <c r="J193" s="8"/>
      <c r="K193" s="67"/>
      <c r="L193" s="67"/>
      <c r="M193" s="8"/>
      <c r="N193" s="8"/>
      <c r="O193" s="8"/>
      <c r="P193" s="8"/>
      <c r="Q193" s="8"/>
      <c r="R193" s="8"/>
      <c r="S193" s="8"/>
      <c r="T193" s="8"/>
      <c r="U193" s="8"/>
    </row>
    <row r="194" spans="10:21" ht="15">
      <c r="J194" s="8"/>
      <c r="K194" s="8"/>
      <c r="L194" s="8"/>
      <c r="M194" s="8"/>
      <c r="N194" s="8"/>
      <c r="O194" s="8"/>
      <c r="P194" s="8"/>
      <c r="Q194" s="8"/>
      <c r="R194" s="8"/>
      <c r="S194" s="8"/>
      <c r="T194" s="8"/>
      <c r="U194" s="8"/>
    </row>
    <row r="195" spans="1:21" ht="15">
      <c r="A195" s="173" t="s">
        <v>126</v>
      </c>
      <c r="B195" s="174" t="s">
        <v>138</v>
      </c>
      <c r="C195" s="173"/>
      <c r="E195" s="58" t="s">
        <v>136</v>
      </c>
      <c r="F195" s="58"/>
      <c r="H195" s="58" t="s">
        <v>140</v>
      </c>
      <c r="I195" s="58"/>
      <c r="J195" s="8"/>
      <c r="K195" s="8"/>
      <c r="L195" s="8"/>
      <c r="M195" s="8"/>
      <c r="N195" s="8"/>
      <c r="O195" s="8"/>
      <c r="P195" s="8"/>
      <c r="Q195" s="8"/>
      <c r="R195" s="8"/>
      <c r="S195" s="8"/>
      <c r="T195" s="8"/>
      <c r="U195" s="8"/>
    </row>
    <row r="196" spans="1:21" ht="15">
      <c r="A196" s="178">
        <f>INDEX(B61:U65,MATCH(MAX(U61:U65),U61:U65,0),20)</f>
        <v>0.00669859336184187</v>
      </c>
      <c r="B196" s="176">
        <f>INDEX(B61:U65,MATCH(MAX(U61:U65),U61:U65,0),13)</f>
        <v>619.0559999999999</v>
      </c>
      <c r="C196" s="177" t="s">
        <v>139</v>
      </c>
      <c r="E196" s="59" t="s">
        <v>2</v>
      </c>
      <c r="F196" s="44">
        <f>INDEX(B61:U65,MATCH(MAX(U61:U65),U61:U65,0),5)</f>
        <v>0.66</v>
      </c>
      <c r="H196" s="56" t="s">
        <v>141</v>
      </c>
      <c r="I196" s="57" t="s">
        <v>117</v>
      </c>
      <c r="J196" s="8"/>
      <c r="K196" s="8"/>
      <c r="L196" s="8"/>
      <c r="M196" s="8"/>
      <c r="N196" s="8"/>
      <c r="O196" s="8"/>
      <c r="P196" s="8"/>
      <c r="Q196" s="8"/>
      <c r="R196" s="8"/>
      <c r="S196" s="8"/>
      <c r="T196" s="8"/>
      <c r="U196" s="8"/>
    </row>
    <row r="197" spans="5:24" ht="15">
      <c r="E197" s="54" t="s">
        <v>3</v>
      </c>
      <c r="F197" s="44">
        <f>INDEX(B61:U65,MATCH(MAX(U61:U65),U61:U65,0),6)</f>
        <v>0.87</v>
      </c>
      <c r="G197">
        <v>0</v>
      </c>
      <c r="H197" s="62">
        <f>INDEX(B61:U65,MATCH(MAX(U61:U65),U61:U65,0),14)</f>
        <v>-945</v>
      </c>
      <c r="I197" s="49">
        <f>H197</f>
        <v>-945</v>
      </c>
      <c r="J197" s="8"/>
      <c r="K197" s="8"/>
      <c r="L197" s="8"/>
      <c r="M197" s="8"/>
      <c r="N197" s="8"/>
      <c r="O197" s="8"/>
      <c r="P197" s="8"/>
      <c r="Q197" s="8"/>
      <c r="R197" s="8"/>
      <c r="S197" s="8"/>
      <c r="T197" s="8"/>
      <c r="U197" s="8"/>
      <c r="V197" s="53"/>
      <c r="W197" s="52"/>
      <c r="X197" s="8"/>
    </row>
    <row r="198" spans="1:24" ht="15">
      <c r="A198" s="58" t="s">
        <v>135</v>
      </c>
      <c r="B198" s="58"/>
      <c r="E198" s="54" t="s">
        <v>4</v>
      </c>
      <c r="F198" s="44">
        <f>INDEX(B61:U65,MATCH(MAX(U61:U65),U61:U65,0),7)</f>
        <v>29.26</v>
      </c>
      <c r="G198">
        <v>1</v>
      </c>
      <c r="H198" s="55">
        <f>INDEX(B61:U65,MATCH(MAX(U61:U65),U61:U65,0),15)</f>
        <v>185.30409600000002</v>
      </c>
      <c r="I198" s="49">
        <f>H198+I197</f>
        <v>-759.6959039999999</v>
      </c>
      <c r="J198" s="8"/>
      <c r="K198" s="8"/>
      <c r="L198" s="8"/>
      <c r="M198" s="8"/>
      <c r="N198" s="8"/>
      <c r="O198" s="8"/>
      <c r="P198" s="8"/>
      <c r="Q198" s="8"/>
      <c r="R198" s="8"/>
      <c r="S198" s="8"/>
      <c r="T198" s="8"/>
      <c r="U198" s="8"/>
      <c r="V198" s="53"/>
      <c r="W198" s="8"/>
      <c r="X198" s="8"/>
    </row>
    <row r="199" spans="1:21" ht="15">
      <c r="A199" s="44" t="str">
        <f>INDEX(B61:U65,MATCH(MAX(U61:U65),U61:U65,0),1)</f>
        <v>Acer</v>
      </c>
      <c r="B199" s="44" t="str">
        <f>INDEX(B61:U65,MATCH(MAX(U61:U65),U61:U65,0),2)</f>
        <v>H213H</v>
      </c>
      <c r="G199">
        <v>2</v>
      </c>
      <c r="H199" s="55">
        <f>INDEX(B61:U65,MATCH(MAX(U61:U65),U61:U65,0),16)</f>
        <v>189.01017792000002</v>
      </c>
      <c r="I199" s="49">
        <f>H199+I198</f>
        <v>-570.6857260799999</v>
      </c>
      <c r="J199" s="8"/>
      <c r="K199" s="8"/>
      <c r="L199" s="8"/>
      <c r="M199" s="8"/>
      <c r="N199" s="8"/>
      <c r="O199" s="8"/>
      <c r="P199" s="8"/>
      <c r="Q199" s="8"/>
      <c r="R199" s="8"/>
      <c r="S199" s="8"/>
      <c r="T199" s="8"/>
      <c r="U199" s="8"/>
    </row>
    <row r="200" spans="7:21" ht="15">
      <c r="G200">
        <v>3</v>
      </c>
      <c r="H200" s="55">
        <f>INDEX(B61:U65,MATCH(MAX(U61:U65),U61:U65,0),17)</f>
        <v>192.79038147840004</v>
      </c>
      <c r="I200" s="49">
        <f>H200+I199</f>
        <v>-377.89534460159985</v>
      </c>
      <c r="J200" s="8"/>
      <c r="K200" s="8"/>
      <c r="L200" s="8"/>
      <c r="M200" s="8"/>
      <c r="N200" s="8"/>
      <c r="O200" s="8"/>
      <c r="P200" s="8"/>
      <c r="Q200" s="8"/>
      <c r="R200" s="8"/>
      <c r="S200" s="8"/>
      <c r="T200" s="8"/>
      <c r="U200" s="8"/>
    </row>
    <row r="201" spans="1:21" ht="15">
      <c r="A201" s="84" t="s">
        <v>137</v>
      </c>
      <c r="B201" s="84" t="s">
        <v>134</v>
      </c>
      <c r="E201" s="82"/>
      <c r="F201" s="82"/>
      <c r="G201">
        <v>4</v>
      </c>
      <c r="H201" s="55">
        <f>INDEX(B61:U65,MATCH(MAX(U61:U65),U61:U65,0),18)</f>
        <v>196.646189107968</v>
      </c>
      <c r="I201" s="49">
        <f>H201+I200</f>
        <v>-181.24915549363183</v>
      </c>
      <c r="J201" s="8"/>
      <c r="K201" s="8"/>
      <c r="L201" s="8"/>
      <c r="M201" s="8"/>
      <c r="N201" s="8"/>
      <c r="O201" s="8"/>
      <c r="P201" s="8"/>
      <c r="Q201" s="8"/>
      <c r="R201" s="8"/>
      <c r="S201" s="8"/>
      <c r="T201" s="8"/>
      <c r="U201" s="8"/>
    </row>
    <row r="202" spans="1:21" ht="15">
      <c r="A202" s="63">
        <f>INDEX(B61:U65,MATCH(MAX(U61:U65),U61:U65,0),8)</f>
        <v>189</v>
      </c>
      <c r="B202" s="85" t="str">
        <f>INDEX(B61:U65,MATCH(MAX(U61:U65),U61:U65,0),4)</f>
        <v>1920x1080</v>
      </c>
      <c r="E202" s="66"/>
      <c r="F202" s="66"/>
      <c r="G202" s="66">
        <v>5</v>
      </c>
      <c r="H202" s="55">
        <f>INDEX(B61:U65,MATCH(MAX(U61:U65),U61:U65,0),19)</f>
        <v>200.5791128901274</v>
      </c>
      <c r="I202" s="49">
        <f>H202+I201</f>
        <v>19.32995739649556</v>
      </c>
      <c r="J202" s="8"/>
      <c r="K202" s="8"/>
      <c r="L202" s="8"/>
      <c r="M202" s="8"/>
      <c r="N202" s="8"/>
      <c r="O202" s="8"/>
      <c r="P202" s="8"/>
      <c r="Q202" s="8"/>
      <c r="R202" s="8"/>
      <c r="S202" s="8"/>
      <c r="T202" s="8"/>
      <c r="U202" s="8"/>
    </row>
    <row r="203" spans="10:21" ht="15">
      <c r="J203" s="8"/>
      <c r="K203" s="8"/>
      <c r="L203" s="8"/>
      <c r="M203" s="8"/>
      <c r="N203" s="8"/>
      <c r="O203" s="8"/>
      <c r="P203" s="8"/>
      <c r="Q203" s="8"/>
      <c r="R203" s="8"/>
      <c r="S203" s="8"/>
      <c r="T203" s="8"/>
      <c r="U203" s="8"/>
    </row>
    <row r="204" spans="10:21" ht="15">
      <c r="J204" s="8"/>
      <c r="K204" s="8"/>
      <c r="L204" s="8"/>
      <c r="M204" s="8"/>
      <c r="N204" s="8"/>
      <c r="O204" s="8"/>
      <c r="P204" s="8"/>
      <c r="Q204" s="8"/>
      <c r="R204" s="8"/>
      <c r="S204" s="8"/>
      <c r="T204" s="8"/>
      <c r="U204" s="8"/>
    </row>
    <row r="205" spans="3:21" ht="15">
      <c r="C205" s="8"/>
      <c r="D205" s="8"/>
      <c r="E205" s="8"/>
      <c r="F205" s="8"/>
      <c r="G205" s="66"/>
      <c r="H205" s="67"/>
      <c r="I205" s="67"/>
      <c r="J205" s="8"/>
      <c r="K205" s="51"/>
      <c r="L205" s="51"/>
      <c r="M205" s="8"/>
      <c r="N205" s="8"/>
      <c r="O205" s="8"/>
      <c r="P205" s="8"/>
      <c r="Q205" s="8"/>
      <c r="R205" s="8"/>
      <c r="S205" s="8"/>
      <c r="T205" s="8"/>
      <c r="U205" s="53"/>
    </row>
    <row r="206" spans="1:21" ht="15">
      <c r="A206" s="8"/>
      <c r="B206" s="52"/>
      <c r="C206" s="8"/>
      <c r="D206" s="8"/>
      <c r="E206" s="8"/>
      <c r="F206" s="8"/>
      <c r="G206" s="8"/>
      <c r="H206" s="53"/>
      <c r="I206" s="8"/>
      <c r="J206" s="8"/>
      <c r="K206" s="8"/>
      <c r="L206" s="8"/>
      <c r="M206" s="51"/>
      <c r="N206" s="53"/>
      <c r="O206" s="53"/>
      <c r="P206" s="53"/>
      <c r="Q206" s="53"/>
      <c r="R206" s="53"/>
      <c r="S206" s="53"/>
      <c r="T206" s="53"/>
      <c r="U206" s="53"/>
    </row>
    <row r="207" spans="10:21" ht="15">
      <c r="J207" s="8"/>
      <c r="K207" s="8"/>
      <c r="L207" s="8"/>
      <c r="M207" s="51"/>
      <c r="N207" s="53"/>
      <c r="O207" s="53"/>
      <c r="P207" s="53"/>
      <c r="Q207" s="53"/>
      <c r="R207" s="53"/>
      <c r="S207" s="53"/>
      <c r="T207" s="53"/>
      <c r="U207" s="53"/>
    </row>
    <row r="208" spans="10:21" ht="15">
      <c r="J208" s="8"/>
      <c r="K208" s="8"/>
      <c r="L208" s="8"/>
      <c r="M208" s="8"/>
      <c r="N208" s="8"/>
      <c r="O208" s="8"/>
      <c r="P208" s="8"/>
      <c r="Q208" s="8"/>
      <c r="R208" s="8"/>
      <c r="S208" s="8"/>
      <c r="T208" s="8"/>
      <c r="U208" s="8"/>
    </row>
    <row r="209" spans="10:21" ht="15">
      <c r="J209" s="8"/>
      <c r="K209" s="8"/>
      <c r="L209" s="8"/>
      <c r="M209" s="8"/>
      <c r="N209" s="8"/>
      <c r="O209" s="8"/>
      <c r="P209" s="8"/>
      <c r="Q209" s="8"/>
      <c r="R209" s="8"/>
      <c r="S209" s="8"/>
      <c r="T209" s="8"/>
      <c r="U209" s="8"/>
    </row>
    <row r="210" spans="10:21" ht="15">
      <c r="J210" s="8"/>
      <c r="K210" s="8"/>
      <c r="L210" s="8"/>
      <c r="M210" s="8"/>
      <c r="N210" s="8"/>
      <c r="O210" s="8"/>
      <c r="P210" s="8"/>
      <c r="Q210" s="8"/>
      <c r="R210" s="8"/>
      <c r="S210" s="8"/>
      <c r="T210" s="8"/>
      <c r="U210" s="8"/>
    </row>
    <row r="211" spans="10:21" ht="15">
      <c r="J211" s="8"/>
      <c r="K211" s="8"/>
      <c r="L211" s="8"/>
      <c r="M211" s="8"/>
      <c r="N211" s="8"/>
      <c r="O211" s="8"/>
      <c r="P211" s="8"/>
      <c r="Q211" s="8"/>
      <c r="R211" s="8"/>
      <c r="S211" s="8"/>
      <c r="T211" s="8"/>
      <c r="U211" s="8"/>
    </row>
    <row r="212" spans="10:21" ht="15">
      <c r="J212" s="8"/>
      <c r="K212" s="8"/>
      <c r="L212" s="8"/>
      <c r="M212" s="8"/>
      <c r="N212" s="8"/>
      <c r="O212" s="8"/>
      <c r="P212" s="8"/>
      <c r="Q212" s="8"/>
      <c r="R212" s="8"/>
      <c r="S212" s="8"/>
      <c r="T212" s="8"/>
      <c r="U212" s="8"/>
    </row>
    <row r="213" spans="10:21" ht="15">
      <c r="J213" s="8"/>
      <c r="K213" s="8"/>
      <c r="L213" s="8"/>
      <c r="M213" s="8"/>
      <c r="N213" s="8"/>
      <c r="O213" s="8"/>
      <c r="P213" s="8"/>
      <c r="Q213" s="8"/>
      <c r="R213" s="8"/>
      <c r="S213" s="8"/>
      <c r="T213" s="8"/>
      <c r="U213" s="8"/>
    </row>
    <row r="214" spans="10:21" ht="15">
      <c r="J214" s="8"/>
      <c r="K214" s="8"/>
      <c r="L214" s="8"/>
      <c r="M214" s="8"/>
      <c r="N214" s="8"/>
      <c r="O214" s="8"/>
      <c r="P214" s="8"/>
      <c r="Q214" s="8"/>
      <c r="R214" s="8"/>
      <c r="S214" s="8"/>
      <c r="T214" s="8"/>
      <c r="U214" s="8"/>
    </row>
    <row r="215" spans="10:21" ht="15">
      <c r="J215" s="8"/>
      <c r="K215" s="8"/>
      <c r="L215" s="8"/>
      <c r="M215" s="8"/>
      <c r="N215" s="8"/>
      <c r="O215" s="8"/>
      <c r="P215" s="8"/>
      <c r="Q215" s="8"/>
      <c r="R215" s="8"/>
      <c r="S215" s="8"/>
      <c r="T215" s="8"/>
      <c r="U215" s="8"/>
    </row>
    <row r="216" spans="10:21" ht="15">
      <c r="J216" s="8"/>
      <c r="K216" s="51"/>
      <c r="L216" s="51"/>
      <c r="M216" s="51"/>
      <c r="N216" s="53"/>
      <c r="O216" s="53"/>
      <c r="P216" s="53"/>
      <c r="Q216" s="53"/>
      <c r="R216" s="53"/>
      <c r="S216" s="53"/>
      <c r="T216" s="53"/>
      <c r="U216" s="53"/>
    </row>
    <row r="217" spans="1:21" ht="15">
      <c r="A217" s="60" t="s">
        <v>130</v>
      </c>
      <c r="B217" s="4"/>
      <c r="C217" s="4"/>
      <c r="D217" s="4"/>
      <c r="E217" s="4"/>
      <c r="F217" s="4"/>
      <c r="G217" s="4"/>
      <c r="H217" s="4"/>
      <c r="I217" s="4"/>
      <c r="J217" s="8"/>
      <c r="K217" s="8"/>
      <c r="L217" s="8"/>
      <c r="M217" s="51"/>
      <c r="N217" s="8"/>
      <c r="O217" s="8"/>
      <c r="P217" s="8"/>
      <c r="Q217" s="8"/>
      <c r="R217" s="8"/>
      <c r="S217" s="8"/>
      <c r="T217" s="8"/>
      <c r="U217" s="53"/>
    </row>
    <row r="218" spans="8:21" ht="15">
      <c r="H218" s="50"/>
      <c r="J218" s="8"/>
      <c r="K218" s="8"/>
      <c r="L218" s="8"/>
      <c r="M218" s="8"/>
      <c r="N218" s="8"/>
      <c r="O218" s="8"/>
      <c r="P218" s="8"/>
      <c r="Q218" s="8"/>
      <c r="R218" s="8"/>
      <c r="S218" s="8"/>
      <c r="T218" s="8"/>
      <c r="U218" s="8"/>
    </row>
    <row r="219" spans="1:21" ht="15">
      <c r="A219" s="173" t="s">
        <v>126</v>
      </c>
      <c r="B219" s="174" t="s">
        <v>138</v>
      </c>
      <c r="C219" s="173"/>
      <c r="E219" s="58" t="s">
        <v>136</v>
      </c>
      <c r="F219" s="58"/>
      <c r="H219" s="58" t="s">
        <v>140</v>
      </c>
      <c r="I219" s="58"/>
      <c r="J219" s="8"/>
      <c r="K219" s="8"/>
      <c r="L219" s="8"/>
      <c r="M219" s="8"/>
      <c r="N219" s="53"/>
      <c r="O219" s="53"/>
      <c r="P219" s="53"/>
      <c r="Q219" s="53"/>
      <c r="R219" s="53"/>
      <c r="S219" s="53"/>
      <c r="T219" s="53"/>
      <c r="U219" s="53"/>
    </row>
    <row r="220" spans="1:21" ht="15">
      <c r="A220" s="178">
        <f>INDEX(B67:U78,MATCH(MAX(U67:U78),U67:U78,0),20)</f>
        <v>0.027555053166685325</v>
      </c>
      <c r="B220" s="176">
        <f>INDEX(B67:U78,MATCH(MAX(U67:U78),U67:U78,0),13)</f>
        <v>623.5758000000001</v>
      </c>
      <c r="C220" s="177" t="s">
        <v>139</v>
      </c>
      <c r="E220" s="59" t="s">
        <v>2</v>
      </c>
      <c r="F220" s="44">
        <f>INDEX(B67:U78,MATCH(MAX(U67:U78),U67:U78,0),5)</f>
        <v>0.33</v>
      </c>
      <c r="H220" s="56" t="s">
        <v>141</v>
      </c>
      <c r="I220" s="57" t="s">
        <v>117</v>
      </c>
      <c r="J220" s="8"/>
      <c r="K220" s="8"/>
      <c r="L220" s="8"/>
      <c r="M220" s="8"/>
      <c r="N220" s="8"/>
      <c r="O220" s="8"/>
      <c r="P220" s="8"/>
      <c r="Q220" s="8"/>
      <c r="R220" s="8"/>
      <c r="S220" s="8"/>
      <c r="T220" s="8"/>
      <c r="U220" s="8"/>
    </row>
    <row r="221" spans="5:21" ht="15">
      <c r="E221" s="54" t="s">
        <v>3</v>
      </c>
      <c r="F221" s="44">
        <f>INDEX(B67:U78,MATCH(MAX(U67:U78),U67:U78,0),6)</f>
        <v>0.42</v>
      </c>
      <c r="G221">
        <v>0</v>
      </c>
      <c r="H221" s="62">
        <f>INDEX(B67:U78,MATCH(MAX(U67:U78),U67:U78,0),14)</f>
        <v>-895</v>
      </c>
      <c r="I221" s="49">
        <f>H221</f>
        <v>-895</v>
      </c>
      <c r="J221" s="8"/>
      <c r="K221" s="8"/>
      <c r="L221" s="8"/>
      <c r="M221" s="8"/>
      <c r="N221" s="8"/>
      <c r="O221" s="8"/>
      <c r="P221" s="8"/>
      <c r="Q221" s="8"/>
      <c r="R221" s="8"/>
      <c r="S221" s="8"/>
      <c r="T221" s="8"/>
      <c r="U221" s="8"/>
    </row>
    <row r="222" spans="1:21" ht="15">
      <c r="A222" s="58" t="s">
        <v>135</v>
      </c>
      <c r="B222" s="58"/>
      <c r="E222" s="54" t="s">
        <v>4</v>
      </c>
      <c r="F222" s="44">
        <f>INDEX(B67:U78,MATCH(MAX(U67:U78),U67:U78,0),7)</f>
        <v>21.7</v>
      </c>
      <c r="G222">
        <v>1</v>
      </c>
      <c r="H222" s="55">
        <f>INDEX(B67:U78,MATCH(MAX(U67:U78),U67:U78,0),15)</f>
        <v>186.65702280000002</v>
      </c>
      <c r="I222" s="49">
        <f>H222+I221</f>
        <v>-708.3429772</v>
      </c>
      <c r="J222" s="8"/>
      <c r="K222" s="8"/>
      <c r="L222" s="8"/>
      <c r="M222" s="8"/>
      <c r="N222" s="8"/>
      <c r="O222" s="8"/>
      <c r="P222" s="8"/>
      <c r="Q222" s="8"/>
      <c r="R222" s="8"/>
      <c r="S222" s="8"/>
      <c r="T222" s="8"/>
      <c r="U222" s="8"/>
    </row>
    <row r="223" spans="1:21" ht="15">
      <c r="A223" s="44" t="str">
        <f>INDEX(B67:U78,MATCH(MAX(U67:U78),U67:U78,0),1)</f>
        <v>Acer</v>
      </c>
      <c r="B223" s="44" t="str">
        <f>INDEX(B67:U78,MATCH(MAX(U67:U78),U67:U78,0),2)</f>
        <v>X223Wv</v>
      </c>
      <c r="G223">
        <v>2</v>
      </c>
      <c r="H223" s="55">
        <f>INDEX(B67:U78,MATCH(MAX(U67:U78),U67:U78,0),16)</f>
        <v>190.39016325600005</v>
      </c>
      <c r="I223" s="49">
        <f>H223+I222</f>
        <v>-517.9528139439999</v>
      </c>
      <c r="J223" s="8"/>
      <c r="K223" s="8"/>
      <c r="L223" s="8"/>
      <c r="M223" s="8"/>
      <c r="N223" s="8"/>
      <c r="O223" s="8"/>
      <c r="P223" s="8"/>
      <c r="Q223" s="8"/>
      <c r="R223" s="8"/>
      <c r="S223" s="8"/>
      <c r="T223" s="8"/>
      <c r="U223" s="8"/>
    </row>
    <row r="224" spans="5:21" ht="15">
      <c r="E224" s="66"/>
      <c r="F224" s="66"/>
      <c r="G224">
        <v>3</v>
      </c>
      <c r="H224" s="55">
        <f>INDEX(B67:U78,MATCH(MAX(U67:U78),U67:U78,0),17)</f>
        <v>194.19796652112004</v>
      </c>
      <c r="I224" s="49">
        <f>H224+I223</f>
        <v>-323.75484742287983</v>
      </c>
      <c r="J224" s="8"/>
      <c r="K224" s="8"/>
      <c r="L224" s="8"/>
      <c r="M224" s="51"/>
      <c r="N224" s="8"/>
      <c r="O224" s="8"/>
      <c r="P224" s="8"/>
      <c r="Q224" s="8"/>
      <c r="R224" s="8"/>
      <c r="S224" s="8"/>
      <c r="T224" s="8"/>
      <c r="U224" s="8"/>
    </row>
    <row r="225" spans="1:21" ht="15">
      <c r="A225" s="84" t="s">
        <v>137</v>
      </c>
      <c r="B225" s="84" t="s">
        <v>134</v>
      </c>
      <c r="E225" s="82"/>
      <c r="F225" s="82"/>
      <c r="G225">
        <v>4</v>
      </c>
      <c r="H225" s="55">
        <f>INDEX(B67:U78,MATCH(MAX(U67:U78),U67:U78,0),18)</f>
        <v>198.08192585154245</v>
      </c>
      <c r="I225" s="49">
        <f>H225+I224</f>
        <v>-125.67292157133738</v>
      </c>
      <c r="J225" s="8"/>
      <c r="K225" s="8"/>
      <c r="L225" s="8"/>
      <c r="M225" s="8"/>
      <c r="N225" s="8"/>
      <c r="O225" s="8"/>
      <c r="P225" s="8"/>
      <c r="Q225" s="8"/>
      <c r="R225" s="8"/>
      <c r="S225" s="8"/>
      <c r="T225" s="8"/>
      <c r="U225" s="8"/>
    </row>
    <row r="226" spans="1:21" ht="15">
      <c r="A226" s="63">
        <f>INDEX(B67:U78,MATCH(MAX(U67:U78),U67:U78,0),8)</f>
        <v>179</v>
      </c>
      <c r="B226" s="85" t="str">
        <f>INDEX(B67:U78,MATCH(MAX(U67:U78),U67:U78,0),4)</f>
        <v>1680x1050</v>
      </c>
      <c r="E226" s="66"/>
      <c r="F226" s="66"/>
      <c r="G226" s="66">
        <v>5</v>
      </c>
      <c r="H226" s="55">
        <f>INDEX(B67:U78,MATCH(MAX(U67:U78),U67:U78,0),19)</f>
        <v>202.0435643685733</v>
      </c>
      <c r="I226" s="49">
        <f>H226+I225</f>
        <v>76.37064279723592</v>
      </c>
      <c r="J226" s="8"/>
      <c r="K226" s="8"/>
      <c r="L226" s="8"/>
      <c r="M226" s="8"/>
      <c r="N226" s="53"/>
      <c r="O226" s="53"/>
      <c r="P226" s="53"/>
      <c r="Q226" s="53"/>
      <c r="R226" s="53"/>
      <c r="S226" s="53"/>
      <c r="T226" s="53"/>
      <c r="U226" s="53"/>
    </row>
    <row r="227" spans="10:21" ht="15">
      <c r="J227" s="8"/>
      <c r="K227" s="8"/>
      <c r="L227" s="8"/>
      <c r="M227" s="8"/>
      <c r="N227" s="8"/>
      <c r="O227" s="8"/>
      <c r="P227" s="8"/>
      <c r="Q227" s="8"/>
      <c r="R227" s="8"/>
      <c r="S227" s="8"/>
      <c r="T227" s="8"/>
      <c r="U227" s="8"/>
    </row>
    <row r="228" spans="3:21" ht="15">
      <c r="C228" s="8"/>
      <c r="D228" s="8"/>
      <c r="E228" s="8"/>
      <c r="F228" s="8"/>
      <c r="G228" s="8"/>
      <c r="H228" s="8"/>
      <c r="I228" s="66"/>
      <c r="J228" s="66"/>
      <c r="K228" s="8"/>
      <c r="L228" s="8"/>
      <c r="M228" s="51"/>
      <c r="N228" s="8"/>
      <c r="O228" s="8"/>
      <c r="P228" s="8"/>
      <c r="Q228" s="8"/>
      <c r="R228" s="8"/>
      <c r="S228" s="8"/>
      <c r="T228" s="8"/>
      <c r="U228" s="8"/>
    </row>
    <row r="229" spans="10:21" ht="15">
      <c r="J229" s="8"/>
      <c r="K229" s="51"/>
      <c r="L229" s="51"/>
      <c r="M229" s="8"/>
      <c r="N229" s="8"/>
      <c r="O229" s="8"/>
      <c r="P229" s="8"/>
      <c r="Q229" s="8"/>
      <c r="R229" s="8"/>
      <c r="S229" s="8"/>
      <c r="T229" s="8"/>
      <c r="U229" s="8"/>
    </row>
    <row r="230" spans="10:21" ht="15">
      <c r="J230" s="8"/>
      <c r="K230" s="8"/>
      <c r="L230" s="8"/>
      <c r="M230" s="8"/>
      <c r="N230" s="53"/>
      <c r="O230" s="53"/>
      <c r="P230" s="53"/>
      <c r="Q230" s="53"/>
      <c r="R230" s="53"/>
      <c r="S230" s="53"/>
      <c r="T230" s="53"/>
      <c r="U230" s="53"/>
    </row>
    <row r="231" spans="10:21" ht="15">
      <c r="J231" s="8"/>
      <c r="K231" s="8"/>
      <c r="L231" s="8"/>
      <c r="M231" s="8"/>
      <c r="N231" s="8"/>
      <c r="O231" s="8"/>
      <c r="P231" s="8"/>
      <c r="Q231" s="8"/>
      <c r="R231" s="8"/>
      <c r="S231" s="8"/>
      <c r="T231" s="8"/>
      <c r="U231" s="53"/>
    </row>
    <row r="232" spans="10:21" ht="15">
      <c r="J232" s="8"/>
      <c r="K232" s="8"/>
      <c r="L232" s="8"/>
      <c r="M232" s="8"/>
      <c r="N232" s="8"/>
      <c r="O232" s="8"/>
      <c r="P232" s="8"/>
      <c r="Q232" s="8"/>
      <c r="R232" s="8"/>
      <c r="S232" s="8"/>
      <c r="T232" s="8"/>
      <c r="U232" s="8"/>
    </row>
    <row r="233" spans="10:21" ht="15">
      <c r="J233" s="8"/>
      <c r="K233" s="8"/>
      <c r="L233" s="8"/>
      <c r="M233" s="8"/>
      <c r="N233" s="8"/>
      <c r="O233" s="8"/>
      <c r="P233" s="8"/>
      <c r="Q233" s="8"/>
      <c r="R233" s="8"/>
      <c r="S233" s="8"/>
      <c r="T233" s="8"/>
      <c r="U233" s="8"/>
    </row>
    <row r="234" spans="10:21" ht="15">
      <c r="J234" s="8"/>
      <c r="K234" s="8"/>
      <c r="L234" s="8"/>
      <c r="M234" s="51"/>
      <c r="N234" s="53"/>
      <c r="O234" s="53"/>
      <c r="P234" s="53"/>
      <c r="Q234" s="53"/>
      <c r="R234" s="53"/>
      <c r="S234" s="53"/>
      <c r="T234" s="53"/>
      <c r="U234" s="53"/>
    </row>
    <row r="235" spans="10:21" ht="15">
      <c r="J235" s="8"/>
      <c r="K235" s="8"/>
      <c r="L235" s="8"/>
      <c r="M235" s="8"/>
      <c r="N235" s="8"/>
      <c r="O235" s="8"/>
      <c r="P235" s="8"/>
      <c r="Q235" s="8"/>
      <c r="R235" s="8"/>
      <c r="S235" s="8"/>
      <c r="T235" s="8"/>
      <c r="U235" s="8"/>
    </row>
    <row r="236" spans="10:21" ht="15">
      <c r="J236" s="8"/>
      <c r="K236" s="8"/>
      <c r="L236" s="8"/>
      <c r="M236" s="8"/>
      <c r="N236" s="8"/>
      <c r="O236" s="8"/>
      <c r="P236" s="8"/>
      <c r="Q236" s="8"/>
      <c r="R236" s="8"/>
      <c r="S236" s="8"/>
      <c r="T236" s="8"/>
      <c r="U236" s="8"/>
    </row>
    <row r="237" spans="10:21" ht="15">
      <c r="J237" s="8"/>
      <c r="K237" s="8"/>
      <c r="L237" s="8"/>
      <c r="M237" s="8"/>
      <c r="N237" s="8"/>
      <c r="O237" s="8"/>
      <c r="P237" s="8"/>
      <c r="Q237" s="8"/>
      <c r="R237" s="8"/>
      <c r="S237" s="8"/>
      <c r="T237" s="8"/>
      <c r="U237" s="8"/>
    </row>
    <row r="238" spans="10:21" ht="15">
      <c r="J238" s="8"/>
      <c r="K238" s="8"/>
      <c r="L238" s="8"/>
      <c r="M238" s="51"/>
      <c r="N238" s="53"/>
      <c r="O238" s="53"/>
      <c r="P238" s="53"/>
      <c r="Q238" s="53"/>
      <c r="R238" s="53"/>
      <c r="S238" s="53"/>
      <c r="T238" s="53"/>
      <c r="U238" s="53"/>
    </row>
    <row r="239" spans="1:21" ht="15">
      <c r="A239" s="60" t="s">
        <v>131</v>
      </c>
      <c r="B239" s="4"/>
      <c r="C239" s="4"/>
      <c r="D239" s="4"/>
      <c r="E239" s="4"/>
      <c r="F239" s="4"/>
      <c r="G239" s="4"/>
      <c r="H239" s="4"/>
      <c r="I239" s="4"/>
      <c r="J239" s="8"/>
      <c r="K239" s="67"/>
      <c r="L239" s="67"/>
      <c r="M239" s="51"/>
      <c r="N239" s="53"/>
      <c r="O239" s="53"/>
      <c r="P239" s="53"/>
      <c r="Q239" s="53"/>
      <c r="R239" s="53"/>
      <c r="S239" s="53"/>
      <c r="T239" s="53"/>
      <c r="U239" s="53"/>
    </row>
    <row r="240" spans="10:21" ht="15">
      <c r="J240" s="8"/>
      <c r="K240" s="8"/>
      <c r="L240" s="8"/>
      <c r="M240" s="8"/>
      <c r="N240" s="8"/>
      <c r="O240" s="8"/>
      <c r="P240" s="8"/>
      <c r="Q240" s="8"/>
      <c r="R240" s="8"/>
      <c r="S240" s="8"/>
      <c r="T240" s="8"/>
      <c r="U240" s="8"/>
    </row>
    <row r="241" spans="1:21" ht="15">
      <c r="A241" s="173" t="s">
        <v>126</v>
      </c>
      <c r="B241" s="174" t="s">
        <v>138</v>
      </c>
      <c r="C241" s="173"/>
      <c r="E241" s="58" t="s">
        <v>136</v>
      </c>
      <c r="F241" s="58"/>
      <c r="H241" s="58" t="s">
        <v>140</v>
      </c>
      <c r="I241" s="58"/>
      <c r="J241" s="8"/>
      <c r="K241" s="8"/>
      <c r="L241" s="8"/>
      <c r="M241" s="8"/>
      <c r="N241" s="8"/>
      <c r="O241" s="8"/>
      <c r="P241" s="8"/>
      <c r="Q241" s="8"/>
      <c r="R241" s="8"/>
      <c r="S241" s="8"/>
      <c r="T241" s="8"/>
      <c r="U241" s="8"/>
    </row>
    <row r="242" spans="1:21" ht="15">
      <c r="A242" s="178">
        <f>INDEX(B80:U83,MATCH(MAX(U80:U83),U80:U83,0),20)</f>
        <v>0.009111604173865985</v>
      </c>
      <c r="B242" s="176">
        <f>INDEX(B80:U83,MATCH(MAX(U80:U83),U80:U83,0),13)</f>
        <v>623.5538399999999</v>
      </c>
      <c r="C242" s="177" t="s">
        <v>139</v>
      </c>
      <c r="E242" s="59" t="s">
        <v>2</v>
      </c>
      <c r="F242" s="44">
        <f>INDEX(B80:U83,MATCH(MAX(U80:U83),U80:U83,0),5)</f>
        <v>0.4</v>
      </c>
      <c r="H242" s="56" t="s">
        <v>141</v>
      </c>
      <c r="I242" s="57" t="s">
        <v>117</v>
      </c>
      <c r="J242" s="8"/>
      <c r="K242" s="8"/>
      <c r="L242" s="8"/>
      <c r="M242" s="8"/>
      <c r="N242" s="8"/>
      <c r="O242" s="8"/>
      <c r="P242" s="8"/>
      <c r="Q242" s="8"/>
      <c r="R242" s="8"/>
      <c r="S242" s="8"/>
      <c r="T242" s="8"/>
      <c r="U242" s="8"/>
    </row>
    <row r="243" spans="5:21" ht="15">
      <c r="E243" s="54" t="s">
        <v>3</v>
      </c>
      <c r="F243" s="44">
        <f>INDEX(B80:U83,MATCH(MAX(U80:U83),U80:U83,0),6)</f>
        <v>0.48</v>
      </c>
      <c r="G243">
        <v>0</v>
      </c>
      <c r="H243" s="62">
        <f>INDEX(B80:U83,MATCH(MAX(U80:U83),U80:U83,0),14)</f>
        <v>-945</v>
      </c>
      <c r="I243" s="49">
        <f>H243</f>
        <v>-945</v>
      </c>
      <c r="J243" s="8"/>
      <c r="K243" s="8"/>
      <c r="L243" s="8"/>
      <c r="M243" s="8"/>
      <c r="N243" s="8"/>
      <c r="O243" s="8"/>
      <c r="P243" s="8"/>
      <c r="Q243" s="8"/>
      <c r="R243" s="8"/>
      <c r="S243" s="8"/>
      <c r="T243" s="8"/>
      <c r="U243" s="8"/>
    </row>
    <row r="244" spans="1:21" ht="15">
      <c r="A244" s="58" t="s">
        <v>135</v>
      </c>
      <c r="B244" s="58"/>
      <c r="E244" s="54" t="s">
        <v>4</v>
      </c>
      <c r="F244" s="44">
        <f>INDEX(B80:U83,MATCH(MAX(U80:U83),U80:U83,0),7)</f>
        <v>21.45</v>
      </c>
      <c r="G244">
        <v>1</v>
      </c>
      <c r="H244" s="55">
        <f>INDEX(B80:U83,MATCH(MAX(U80:U83),U80:U83,0),15)</f>
        <v>186.65044944000002</v>
      </c>
      <c r="I244" s="49">
        <f>H244+I243</f>
        <v>-758.34955056</v>
      </c>
      <c r="J244" s="8"/>
      <c r="K244" s="8"/>
      <c r="L244" s="8"/>
      <c r="M244" s="8"/>
      <c r="N244" s="8"/>
      <c r="O244" s="8"/>
      <c r="P244" s="8"/>
      <c r="Q244" s="8"/>
      <c r="R244" s="8"/>
      <c r="S244" s="8"/>
      <c r="T244" s="8"/>
      <c r="U244" s="8"/>
    </row>
    <row r="245" spans="1:21" ht="15">
      <c r="A245" s="44" t="str">
        <f>INDEX(B80:U83,MATCH(MAX(U80:U83),U80:U83,0),1)</f>
        <v>Dell</v>
      </c>
      <c r="B245" s="44" t="str">
        <f>INDEX(B80:U83,MATCH(MAX(U80:U83),U80:U83,0),2)</f>
        <v>ST2310f</v>
      </c>
      <c r="G245">
        <v>2</v>
      </c>
      <c r="H245" s="55">
        <f>INDEX(B80:U83,MATCH(MAX(U80:U83),U80:U83,0),16)</f>
        <v>190.38345842880003</v>
      </c>
      <c r="I245" s="49">
        <f>H245+I244</f>
        <v>-567.9660921312</v>
      </c>
      <c r="J245" s="8"/>
      <c r="K245" s="8"/>
      <c r="L245" s="8"/>
      <c r="M245" s="8"/>
      <c r="N245" s="8"/>
      <c r="O245" s="8"/>
      <c r="P245" s="8"/>
      <c r="Q245" s="8"/>
      <c r="R245" s="8"/>
      <c r="S245" s="8"/>
      <c r="T245" s="8"/>
      <c r="U245" s="8"/>
    </row>
    <row r="246" spans="7:21" ht="15">
      <c r="G246">
        <v>3</v>
      </c>
      <c r="H246" s="55">
        <f>INDEX(B80:U83,MATCH(MAX(U80:U83),U80:U83,0),17)</f>
        <v>194.191127597376</v>
      </c>
      <c r="I246" s="49">
        <f>H246+I245</f>
        <v>-373.77496453382395</v>
      </c>
      <c r="J246" s="8"/>
      <c r="K246" s="8"/>
      <c r="L246" s="8"/>
      <c r="M246" s="8"/>
      <c r="N246" s="8"/>
      <c r="O246" s="8"/>
      <c r="P246" s="8"/>
      <c r="Q246" s="8"/>
      <c r="R246" s="8"/>
      <c r="S246" s="8"/>
      <c r="T246" s="8"/>
      <c r="U246" s="8"/>
    </row>
    <row r="247" spans="1:21" ht="15">
      <c r="A247" s="84" t="s">
        <v>137</v>
      </c>
      <c r="B247" s="84" t="s">
        <v>134</v>
      </c>
      <c r="E247" s="82"/>
      <c r="F247" s="82"/>
      <c r="G247">
        <v>4</v>
      </c>
      <c r="H247" s="55">
        <f>INDEX(B80:U83,MATCH(MAX(U80:U83),U80:U83,0),18)</f>
        <v>198.07495014932354</v>
      </c>
      <c r="I247" s="49">
        <f>H247+I246</f>
        <v>-175.7000143845004</v>
      </c>
      <c r="J247" s="8"/>
      <c r="K247" s="8"/>
      <c r="L247" s="8"/>
      <c r="M247" s="8"/>
      <c r="N247" s="8"/>
      <c r="O247" s="8"/>
      <c r="P247" s="8"/>
      <c r="Q247" s="8"/>
      <c r="R247" s="8"/>
      <c r="S247" s="8"/>
      <c r="T247" s="8"/>
      <c r="U247" s="8"/>
    </row>
    <row r="248" spans="1:21" ht="15">
      <c r="A248" s="63">
        <f>INDEX(B80:U83,MATCH(MAX(U80:U83),U80:U83,0),8)</f>
        <v>189</v>
      </c>
      <c r="B248" s="85" t="str">
        <f>INDEX(B80:U83,MATCH(MAX(U80:U83),U80:U83,0),4)</f>
        <v>1920x1080</v>
      </c>
      <c r="E248" s="66"/>
      <c r="F248" s="66"/>
      <c r="G248" s="66">
        <v>5</v>
      </c>
      <c r="H248" s="55">
        <f>INDEX(B80:U83,MATCH(MAX(U80:U83),U80:U83,0),19)</f>
        <v>202.03644915231</v>
      </c>
      <c r="I248" s="49">
        <f>H248+I247</f>
        <v>26.336434767809607</v>
      </c>
      <c r="J248" s="8"/>
      <c r="K248" s="8"/>
      <c r="L248" s="8"/>
      <c r="M248" s="8"/>
      <c r="N248" s="8"/>
      <c r="O248" s="8"/>
      <c r="P248" s="8"/>
      <c r="Q248" s="8"/>
      <c r="R248" s="8"/>
      <c r="S248" s="8"/>
      <c r="T248" s="8"/>
      <c r="U248" s="8"/>
    </row>
    <row r="249" spans="10:21" ht="15">
      <c r="J249" s="8"/>
      <c r="K249" s="8"/>
      <c r="L249" s="8"/>
      <c r="M249" s="8"/>
      <c r="N249" s="8"/>
      <c r="O249" s="8"/>
      <c r="P249" s="8"/>
      <c r="Q249" s="8"/>
      <c r="R249" s="8"/>
      <c r="S249" s="8"/>
      <c r="T249" s="8"/>
      <c r="U249" s="8"/>
    </row>
    <row r="250" spans="10:21" ht="15">
      <c r="J250" s="8"/>
      <c r="K250" s="8"/>
      <c r="L250" s="8"/>
      <c r="M250" s="8"/>
      <c r="N250" s="8"/>
      <c r="O250" s="8"/>
      <c r="P250" s="8"/>
      <c r="Q250" s="8"/>
      <c r="R250" s="8"/>
      <c r="S250" s="8"/>
      <c r="T250" s="8"/>
      <c r="U250" s="8"/>
    </row>
    <row r="251" spans="10:21" ht="15">
      <c r="J251" s="8"/>
      <c r="K251" s="8"/>
      <c r="L251" s="8"/>
      <c r="M251" s="8"/>
      <c r="N251" s="8"/>
      <c r="O251" s="8"/>
      <c r="P251" s="8"/>
      <c r="Q251" s="8"/>
      <c r="R251" s="8"/>
      <c r="S251" s="8"/>
      <c r="T251" s="8"/>
      <c r="U251" s="8"/>
    </row>
    <row r="252" spans="10:21" ht="15">
      <c r="J252" s="8"/>
      <c r="K252" s="8"/>
      <c r="L252" s="8"/>
      <c r="M252" s="8"/>
      <c r="N252" s="8"/>
      <c r="O252" s="8"/>
      <c r="P252" s="8"/>
      <c r="Q252" s="8"/>
      <c r="R252" s="8"/>
      <c r="S252" s="8"/>
      <c r="T252" s="8"/>
      <c r="U252" s="8"/>
    </row>
    <row r="253" spans="10:21" ht="15">
      <c r="J253" s="8"/>
      <c r="K253" s="8"/>
      <c r="L253" s="8"/>
      <c r="M253" s="8"/>
      <c r="N253" s="8"/>
      <c r="O253" s="8"/>
      <c r="P253" s="8"/>
      <c r="Q253" s="8"/>
      <c r="R253" s="8"/>
      <c r="S253" s="8"/>
      <c r="T253" s="8"/>
      <c r="U253" s="8"/>
    </row>
    <row r="254" spans="3:21" ht="15">
      <c r="C254" s="8"/>
      <c r="D254" s="8"/>
      <c r="E254" s="8"/>
      <c r="F254" s="8"/>
      <c r="G254" s="8"/>
      <c r="H254" s="8"/>
      <c r="I254" s="66"/>
      <c r="J254" s="66"/>
      <c r="K254" s="8"/>
      <c r="L254" s="8"/>
      <c r="M254" s="8"/>
      <c r="N254" s="8"/>
      <c r="O254" s="8"/>
      <c r="P254" s="8"/>
      <c r="Q254" s="8"/>
      <c r="R254" s="8"/>
      <c r="S254" s="8"/>
      <c r="T254" s="8"/>
      <c r="U254" s="8"/>
    </row>
    <row r="255" spans="10:21" ht="15">
      <c r="J255" s="8"/>
      <c r="K255" s="8"/>
      <c r="L255" s="8"/>
      <c r="M255" s="8"/>
      <c r="N255" s="8"/>
      <c r="O255" s="8"/>
      <c r="P255" s="8"/>
      <c r="Q255" s="8"/>
      <c r="R255" s="8"/>
      <c r="S255" s="8"/>
      <c r="T255" s="8"/>
      <c r="U255" s="8"/>
    </row>
    <row r="256" spans="10:21" ht="15">
      <c r="J256" s="8"/>
      <c r="K256" s="8"/>
      <c r="L256" s="8"/>
      <c r="M256" s="8"/>
      <c r="N256" s="8"/>
      <c r="O256" s="8"/>
      <c r="P256" s="8"/>
      <c r="Q256" s="8"/>
      <c r="R256" s="8"/>
      <c r="S256" s="8"/>
      <c r="T256" s="8"/>
      <c r="U256" s="8"/>
    </row>
    <row r="257" spans="10:21" ht="15">
      <c r="J257" s="8"/>
      <c r="K257" s="8"/>
      <c r="L257" s="8"/>
      <c r="M257" s="8"/>
      <c r="N257" s="8"/>
      <c r="O257" s="8"/>
      <c r="P257" s="8"/>
      <c r="Q257" s="8"/>
      <c r="R257" s="8"/>
      <c r="S257" s="8"/>
      <c r="T257" s="8"/>
      <c r="U257" s="8"/>
    </row>
    <row r="258" spans="10:21" ht="15">
      <c r="J258" s="8"/>
      <c r="K258" s="8"/>
      <c r="L258" s="8"/>
      <c r="M258" s="8"/>
      <c r="N258" s="8"/>
      <c r="O258" s="8"/>
      <c r="P258" s="8"/>
      <c r="Q258" s="8"/>
      <c r="R258" s="8"/>
      <c r="S258" s="8"/>
      <c r="T258" s="8"/>
      <c r="U258" s="8"/>
    </row>
    <row r="259" spans="10:21" ht="15">
      <c r="J259" s="8"/>
      <c r="K259" s="8"/>
      <c r="L259" s="8"/>
      <c r="M259" s="8"/>
      <c r="N259" s="8"/>
      <c r="O259" s="8"/>
      <c r="P259" s="8"/>
      <c r="Q259" s="8"/>
      <c r="R259" s="8"/>
      <c r="S259" s="8"/>
      <c r="T259" s="8"/>
      <c r="U259" s="8"/>
    </row>
    <row r="260" spans="10:21" ht="15">
      <c r="J260" s="8"/>
      <c r="K260" s="8"/>
      <c r="L260" s="8"/>
      <c r="M260" s="8"/>
      <c r="N260" s="53"/>
      <c r="O260" s="53"/>
      <c r="P260" s="53"/>
      <c r="Q260" s="53"/>
      <c r="R260" s="53"/>
      <c r="S260" s="53"/>
      <c r="T260" s="53"/>
      <c r="U260" s="53"/>
    </row>
    <row r="261" spans="1:21" ht="15">
      <c r="A261" s="60" t="s">
        <v>132</v>
      </c>
      <c r="B261" s="4"/>
      <c r="C261" s="4"/>
      <c r="D261" s="4"/>
      <c r="E261" s="4"/>
      <c r="F261" s="4"/>
      <c r="G261" s="4"/>
      <c r="H261" s="61"/>
      <c r="I261" s="4"/>
      <c r="J261" s="8"/>
      <c r="K261" s="8"/>
      <c r="L261" s="8"/>
      <c r="M261" s="8"/>
      <c r="N261" s="8"/>
      <c r="O261" s="8"/>
      <c r="P261" s="8"/>
      <c r="Q261" s="8"/>
      <c r="R261" s="8"/>
      <c r="S261" s="8"/>
      <c r="T261" s="8"/>
      <c r="U261" s="53"/>
    </row>
    <row r="262" spans="8:21" ht="15">
      <c r="H262" s="50"/>
      <c r="J262" s="8"/>
      <c r="K262" s="8"/>
      <c r="L262" s="8"/>
      <c r="M262" s="51"/>
      <c r="N262" s="8"/>
      <c r="O262" s="8"/>
      <c r="P262" s="8"/>
      <c r="Q262" s="8"/>
      <c r="R262" s="8"/>
      <c r="S262" s="8"/>
      <c r="T262" s="8"/>
      <c r="U262" s="8"/>
    </row>
    <row r="263" spans="1:21" ht="15">
      <c r="A263" s="173" t="s">
        <v>126</v>
      </c>
      <c r="B263" s="174" t="s">
        <v>138</v>
      </c>
      <c r="C263" s="173"/>
      <c r="E263" s="58" t="s">
        <v>136</v>
      </c>
      <c r="F263" s="58"/>
      <c r="H263" s="58" t="s">
        <v>140</v>
      </c>
      <c r="I263" s="58"/>
      <c r="J263" s="8"/>
      <c r="K263" s="8"/>
      <c r="L263" s="8"/>
      <c r="M263" s="51"/>
      <c r="N263" s="8"/>
      <c r="O263" s="8"/>
      <c r="P263" s="8"/>
      <c r="Q263" s="8"/>
      <c r="R263" s="8"/>
      <c r="S263" s="8"/>
      <c r="T263" s="8"/>
      <c r="U263" s="8"/>
    </row>
    <row r="264" spans="1:21" ht="15">
      <c r="A264" s="178">
        <f>INDEX(B85:U87,MATCH(MAX(U85:U87),U85:U87,0),20)</f>
        <v>-0.12791406622221294</v>
      </c>
      <c r="B264" s="176">
        <f>INDEX(B85:U87,MATCH(MAX(U85:U87),U85:U87,0),13)</f>
        <v>623.50488</v>
      </c>
      <c r="C264" s="177" t="s">
        <v>139</v>
      </c>
      <c r="E264" s="59" t="s">
        <v>2</v>
      </c>
      <c r="F264" s="44">
        <f>INDEX(B85:U87,MATCH(MAX(U85:U87),U85:U87,0),5)</f>
        <v>0.44</v>
      </c>
      <c r="H264" s="56" t="s">
        <v>141</v>
      </c>
      <c r="I264" s="57" t="s">
        <v>117</v>
      </c>
      <c r="J264" s="8"/>
      <c r="K264" s="8"/>
      <c r="L264" s="8"/>
      <c r="M264" s="8"/>
      <c r="N264" s="8"/>
      <c r="O264" s="8"/>
      <c r="P264" s="8"/>
      <c r="Q264" s="8"/>
      <c r="R264" s="8"/>
      <c r="S264" s="8"/>
      <c r="T264" s="8"/>
      <c r="U264" s="8"/>
    </row>
    <row r="265" spans="5:21" ht="15">
      <c r="E265" s="54" t="s">
        <v>3</v>
      </c>
      <c r="F265" s="44">
        <f>INDEX(B85:U87,MATCH(MAX(U85:U87),U85:U87,0),6)</f>
        <v>0.65</v>
      </c>
      <c r="G265">
        <v>0</v>
      </c>
      <c r="H265" s="62">
        <f>INDEX(B85:U87,MATCH(MAX(U85:U87),U85:U87,0),14)</f>
        <v>-1500</v>
      </c>
      <c r="I265" s="49">
        <f>H265</f>
        <v>-1500</v>
      </c>
      <c r="J265" s="8"/>
      <c r="K265" s="8"/>
      <c r="L265" s="8"/>
      <c r="M265" s="8"/>
      <c r="N265" s="8"/>
      <c r="O265" s="8"/>
      <c r="P265" s="8"/>
      <c r="Q265" s="8"/>
      <c r="R265" s="8"/>
      <c r="S265" s="8"/>
      <c r="T265" s="8"/>
      <c r="U265" s="8"/>
    </row>
    <row r="266" spans="1:21" ht="15">
      <c r="A266" s="58" t="s">
        <v>135</v>
      </c>
      <c r="B266" s="58"/>
      <c r="E266" s="54" t="s">
        <v>4</v>
      </c>
      <c r="F266" s="44">
        <f>INDEX(B85:U87,MATCH(MAX(U85:U87),U85:U87,0),7)</f>
        <v>21.36</v>
      </c>
      <c r="G266">
        <v>1</v>
      </c>
      <c r="H266" s="55">
        <f>INDEX(B85:U87,MATCH(MAX(U85:U87),U85:U87,0),15)</f>
        <v>186.63579408</v>
      </c>
      <c r="I266" s="49">
        <f>H266+I265</f>
        <v>-1313.36420592</v>
      </c>
      <c r="J266" s="8"/>
      <c r="K266" s="67"/>
      <c r="L266" s="67"/>
      <c r="M266" s="8"/>
      <c r="N266" s="8"/>
      <c r="O266" s="8"/>
      <c r="P266" s="8"/>
      <c r="Q266" s="8"/>
      <c r="R266" s="8"/>
      <c r="S266" s="8"/>
      <c r="T266" s="8"/>
      <c r="U266" s="8"/>
    </row>
    <row r="267" spans="1:21" ht="15">
      <c r="A267" s="44" t="str">
        <f>INDEX(B85:U87,MATCH(MAX(U85:U87),U85:U87,0),1)</f>
        <v>Dell</v>
      </c>
      <c r="B267" s="44" t="str">
        <f>INDEX(B85:U87,MATCH(MAX(U85:U87),U85:U87,0),2)</f>
        <v>ST2410b</v>
      </c>
      <c r="G267">
        <v>2</v>
      </c>
      <c r="H267" s="55">
        <f>INDEX(B85:U87,MATCH(MAX(U85:U87),U85:U87,0),16)</f>
        <v>190.3685099616</v>
      </c>
      <c r="I267" s="49">
        <f>H267+I266</f>
        <v>-1122.9956959584</v>
      </c>
      <c r="J267" s="8"/>
      <c r="K267" s="8"/>
      <c r="L267" s="8"/>
      <c r="M267" s="8"/>
      <c r="N267" s="8"/>
      <c r="O267" s="8"/>
      <c r="P267" s="8"/>
      <c r="Q267" s="8"/>
      <c r="R267" s="8"/>
      <c r="S267" s="8"/>
      <c r="T267" s="8"/>
      <c r="U267" s="8"/>
    </row>
    <row r="268" spans="7:21" ht="15">
      <c r="G268">
        <v>3</v>
      </c>
      <c r="H268" s="55">
        <f>INDEX(B85:U87,MATCH(MAX(U85:U87),U85:U87,0),17)</f>
        <v>194.17588016083204</v>
      </c>
      <c r="I268" s="49">
        <f>H268+I267</f>
        <v>-928.8198157975678</v>
      </c>
      <c r="J268" s="8"/>
      <c r="K268" s="8"/>
      <c r="L268" s="8"/>
      <c r="M268" s="8"/>
      <c r="N268" s="8"/>
      <c r="O268" s="8"/>
      <c r="P268" s="8"/>
      <c r="Q268" s="8"/>
      <c r="R268" s="8"/>
      <c r="S268" s="8"/>
      <c r="T268" s="8"/>
      <c r="U268" s="8"/>
    </row>
    <row r="269" spans="1:21" ht="15">
      <c r="A269" s="84" t="s">
        <v>137</v>
      </c>
      <c r="B269" s="84" t="s">
        <v>134</v>
      </c>
      <c r="E269" s="82"/>
      <c r="F269" s="82"/>
      <c r="G269">
        <v>4</v>
      </c>
      <c r="H269" s="55">
        <f>INDEX(B85:U87,MATCH(MAX(U85:U87),U85:U87,0),18)</f>
        <v>198.05939776404867</v>
      </c>
      <c r="I269" s="49">
        <f>H269+I268</f>
        <v>-730.7604180335192</v>
      </c>
      <c r="J269" s="8"/>
      <c r="K269" s="8"/>
      <c r="L269" s="8"/>
      <c r="M269" s="8"/>
      <c r="N269" s="8"/>
      <c r="O269" s="8"/>
      <c r="P269" s="8"/>
      <c r="Q269" s="8"/>
      <c r="R269" s="8"/>
      <c r="S269" s="8"/>
      <c r="T269" s="8"/>
      <c r="U269" s="8"/>
    </row>
    <row r="270" spans="1:21" ht="15">
      <c r="A270" s="63">
        <f>INDEX(B85:U87,MATCH(MAX(U85:U87),U85:U87,0),8)</f>
        <v>300</v>
      </c>
      <c r="B270" s="85" t="str">
        <f>INDEX(B85:U87,MATCH(MAX(U85:U87),U85:U87,0),4)</f>
        <v>1920x1080</v>
      </c>
      <c r="E270" s="66"/>
      <c r="F270" s="66"/>
      <c r="G270" s="66">
        <v>5</v>
      </c>
      <c r="H270" s="55">
        <f>INDEX(B85:U87,MATCH(MAX(U85:U87),U85:U87,0),19)</f>
        <v>202.02058571932966</v>
      </c>
      <c r="I270" s="49">
        <f>H270+I269</f>
        <v>-528.7398323141895</v>
      </c>
      <c r="J270" s="8"/>
      <c r="K270" s="8"/>
      <c r="L270" s="8"/>
      <c r="M270" s="8"/>
      <c r="N270" s="8"/>
      <c r="O270" s="8"/>
      <c r="P270" s="8"/>
      <c r="Q270" s="8"/>
      <c r="R270" s="8"/>
      <c r="S270" s="8"/>
      <c r="T270" s="8"/>
      <c r="U270" s="8"/>
    </row>
    <row r="271" spans="1:21" ht="15">
      <c r="A271" s="8"/>
      <c r="B271" s="8"/>
      <c r="C271" s="8"/>
      <c r="F271" s="8"/>
      <c r="G271" s="8"/>
      <c r="H271" s="8"/>
      <c r="I271" s="66"/>
      <c r="J271" s="66"/>
      <c r="K271" s="8"/>
      <c r="L271" s="8"/>
      <c r="M271" s="8"/>
      <c r="N271" s="8"/>
      <c r="O271" s="8"/>
      <c r="P271" s="8"/>
      <c r="Q271" s="8"/>
      <c r="R271" s="8"/>
      <c r="S271" s="8"/>
      <c r="T271" s="8"/>
      <c r="U271" s="8"/>
    </row>
    <row r="272" spans="10:21" ht="15">
      <c r="J272" s="8"/>
      <c r="K272" s="8"/>
      <c r="L272" s="8"/>
      <c r="M272" s="8"/>
      <c r="N272" s="8"/>
      <c r="O272" s="8"/>
      <c r="P272" s="8"/>
      <c r="Q272" s="8"/>
      <c r="R272" s="8"/>
      <c r="S272" s="8"/>
      <c r="T272" s="8"/>
      <c r="U272" s="8"/>
    </row>
    <row r="273" spans="10:21" ht="15">
      <c r="J273" s="8"/>
      <c r="K273" s="51"/>
      <c r="L273" s="51"/>
      <c r="M273" s="8"/>
      <c r="N273" s="8"/>
      <c r="O273" s="8"/>
      <c r="P273" s="8"/>
      <c r="Q273" s="8"/>
      <c r="R273" s="8"/>
      <c r="S273" s="8"/>
      <c r="T273" s="8"/>
      <c r="U273" s="8"/>
    </row>
    <row r="274" spans="10:21" ht="15">
      <c r="J274" s="8"/>
      <c r="K274" s="51"/>
      <c r="L274" s="51"/>
      <c r="M274" s="8"/>
      <c r="N274" s="53"/>
      <c r="O274" s="53"/>
      <c r="P274" s="53"/>
      <c r="Q274" s="53"/>
      <c r="R274" s="53"/>
      <c r="S274" s="53"/>
      <c r="T274" s="53"/>
      <c r="U274" s="53"/>
    </row>
    <row r="275" spans="10:21" ht="15">
      <c r="J275" s="8"/>
      <c r="K275" s="8"/>
      <c r="L275" s="8"/>
      <c r="M275" s="8"/>
      <c r="N275" s="53"/>
      <c r="O275" s="53"/>
      <c r="P275" s="53"/>
      <c r="Q275" s="53"/>
      <c r="R275" s="53"/>
      <c r="S275" s="53"/>
      <c r="T275" s="53"/>
      <c r="U275" s="53"/>
    </row>
    <row r="276" spans="10:21" ht="15">
      <c r="J276" s="8"/>
      <c r="K276" s="8"/>
      <c r="L276" s="8"/>
      <c r="M276" s="8"/>
      <c r="N276" s="8"/>
      <c r="O276" s="8"/>
      <c r="P276" s="8"/>
      <c r="Q276" s="8"/>
      <c r="R276" s="8"/>
      <c r="S276" s="8"/>
      <c r="T276" s="8"/>
      <c r="U276" s="8"/>
    </row>
    <row r="277" spans="10:21" ht="15">
      <c r="J277" s="8"/>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1"/>
      <c r="N280" s="53"/>
      <c r="O280" s="53"/>
      <c r="P280" s="53"/>
      <c r="Q280" s="53"/>
      <c r="R280" s="53"/>
      <c r="S280" s="53"/>
      <c r="T280" s="53"/>
      <c r="U280" s="53"/>
    </row>
    <row r="281" spans="11:21" ht="15">
      <c r="K281" s="8"/>
      <c r="L281" s="8"/>
      <c r="M281" s="8"/>
      <c r="N281" s="8"/>
      <c r="O281" s="8"/>
      <c r="P281" s="8"/>
      <c r="Q281" s="8"/>
      <c r="R281" s="8"/>
      <c r="S281" s="8"/>
      <c r="T281" s="8"/>
      <c r="U281" s="53"/>
    </row>
    <row r="282" spans="11:21" ht="15">
      <c r="K282" s="8"/>
      <c r="L282" s="8"/>
      <c r="M282" s="8"/>
      <c r="N282" s="8"/>
      <c r="O282" s="8"/>
      <c r="P282" s="8"/>
      <c r="Q282" s="8"/>
      <c r="R282" s="8"/>
      <c r="S282" s="8"/>
      <c r="T282" s="8"/>
      <c r="U282" s="8"/>
    </row>
    <row r="283" spans="11:21" ht="15">
      <c r="K283" s="67"/>
      <c r="L283" s="67"/>
      <c r="M283" s="51"/>
      <c r="N283" s="53"/>
      <c r="O283" s="53"/>
      <c r="P283" s="53"/>
      <c r="Q283" s="53"/>
      <c r="R283" s="53"/>
      <c r="S283" s="53"/>
      <c r="T283" s="53"/>
      <c r="U283" s="53"/>
    </row>
    <row r="284" spans="13:21" ht="15">
      <c r="M284" s="3"/>
      <c r="N284" s="50"/>
      <c r="O284" s="50"/>
      <c r="P284" s="50"/>
      <c r="Q284" s="50"/>
      <c r="R284" s="50"/>
      <c r="S284" s="50"/>
      <c r="T284" s="50"/>
      <c r="U284" s="50"/>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8" location="Dell" display="Dell"/>
    <hyperlink ref="H10" location="HP" display="HP-Compaq"/>
    <hyperlink ref="H12" location="Leno" display="Lenovo"/>
    <hyperlink ref="I21" location="Manufacturers" display="Price"/>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6" location="PredCostElec" display="Predicted"/>
    <hyperlink ref="E7"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 ref="J21" location="'Projected Savings'!B21" display="Manufacturer"/>
    <hyperlink ref="K21" location="'Projected Savings'!C21" display="Model"/>
  </hyperlinks>
  <printOptions gridLines="1"/>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9"/>
  <sheetViews>
    <sheetView showGridLines="0" zoomScalePageLayoutView="0" workbookViewId="0" topLeftCell="A39">
      <selection activeCell="G7" sqref="G7"/>
    </sheetView>
  </sheetViews>
  <sheetFormatPr defaultColWidth="9.140625" defaultRowHeight="15"/>
  <cols>
    <col min="1" max="1" width="4.140625" style="0" customWidth="1"/>
    <col min="2" max="2" width="9.140625" style="0" customWidth="1"/>
    <col min="4" max="4" width="12.8515625" style="0" customWidth="1"/>
    <col min="5" max="5" width="5.28125" style="0" customWidth="1"/>
    <col min="9" max="9" width="4.421875" style="0" customWidth="1"/>
    <col min="10" max="10" width="4.8515625" style="0" customWidth="1"/>
  </cols>
  <sheetData>
    <row r="1" spans="1:21" ht="15">
      <c r="A1" s="105"/>
      <c r="B1" s="105"/>
      <c r="C1" s="105"/>
      <c r="D1" s="105"/>
      <c r="E1" s="105"/>
      <c r="F1" s="105"/>
      <c r="G1" s="105"/>
      <c r="H1" s="105"/>
      <c r="I1" s="105"/>
      <c r="J1" s="105"/>
      <c r="K1" s="105"/>
      <c r="L1" s="105"/>
      <c r="M1" s="105"/>
      <c r="N1" s="105"/>
      <c r="O1" s="105"/>
      <c r="P1" s="105"/>
      <c r="Q1" s="105"/>
      <c r="R1" s="105"/>
      <c r="S1" s="105"/>
      <c r="T1" s="105"/>
      <c r="U1" s="105"/>
    </row>
    <row r="2" spans="1:21" ht="15">
      <c r="A2" s="105"/>
      <c r="B2" s="138" t="s">
        <v>157</v>
      </c>
      <c r="C2" s="4"/>
      <c r="D2" s="4"/>
      <c r="E2" s="4"/>
      <c r="F2" s="4"/>
      <c r="G2" s="4"/>
      <c r="H2" s="4"/>
      <c r="I2" s="4"/>
      <c r="J2" s="4"/>
      <c r="K2" s="4"/>
      <c r="L2" s="105"/>
      <c r="M2" s="105"/>
      <c r="N2" s="105"/>
      <c r="O2" s="105"/>
      <c r="P2" s="105"/>
      <c r="Q2" s="105"/>
      <c r="R2" s="105"/>
      <c r="S2" s="105"/>
      <c r="T2" s="105"/>
      <c r="U2" s="105"/>
    </row>
    <row r="3" spans="1:21" ht="15">
      <c r="A3" s="105"/>
      <c r="B3" s="105"/>
      <c r="C3" s="105"/>
      <c r="D3" s="105"/>
      <c r="E3" s="105"/>
      <c r="F3" s="105"/>
      <c r="G3" s="105"/>
      <c r="H3" s="105"/>
      <c r="I3" s="105"/>
      <c r="J3" s="105"/>
      <c r="K3" s="105"/>
      <c r="L3" s="105"/>
      <c r="M3" s="105"/>
      <c r="N3" s="105"/>
      <c r="O3" s="105"/>
      <c r="P3" s="105"/>
      <c r="Q3" s="105"/>
      <c r="R3" s="105"/>
      <c r="S3" s="105"/>
      <c r="T3" s="105"/>
      <c r="U3" s="105"/>
    </row>
    <row r="4" spans="1:21" ht="15">
      <c r="A4" s="105"/>
      <c r="B4" s="139" t="s">
        <v>162</v>
      </c>
      <c r="C4" s="140"/>
      <c r="D4" s="140"/>
      <c r="E4" s="141"/>
      <c r="F4" s="105"/>
      <c r="G4" s="105"/>
      <c r="H4" s="105"/>
      <c r="I4" s="105"/>
      <c r="J4" s="106"/>
      <c r="K4" s="105"/>
      <c r="L4" s="105"/>
      <c r="M4" s="105"/>
      <c r="N4" s="105"/>
      <c r="O4" s="105"/>
      <c r="P4" s="105"/>
      <c r="Q4" s="105"/>
      <c r="R4" s="105"/>
      <c r="S4" s="105"/>
      <c r="T4" s="105"/>
      <c r="U4" s="105"/>
    </row>
    <row r="5" spans="1:21" ht="15">
      <c r="A5" s="105"/>
      <c r="B5" s="142">
        <v>0.3</v>
      </c>
      <c r="C5" s="143" t="s">
        <v>161</v>
      </c>
      <c r="D5" s="143"/>
      <c r="E5" s="144" t="s">
        <v>179</v>
      </c>
      <c r="F5" s="105"/>
      <c r="G5" s="105"/>
      <c r="H5" s="105"/>
      <c r="I5" s="105"/>
      <c r="J5" s="105"/>
      <c r="K5" s="105"/>
      <c r="L5" s="105"/>
      <c r="M5" s="105"/>
      <c r="N5" s="105"/>
      <c r="O5" s="105"/>
      <c r="P5" s="105"/>
      <c r="Q5" s="105"/>
      <c r="R5" s="105"/>
      <c r="S5" s="105"/>
      <c r="T5" s="105"/>
      <c r="U5" s="105"/>
    </row>
    <row r="6" spans="1:21" ht="15">
      <c r="A6" s="105"/>
      <c r="B6" s="139" t="s">
        <v>182</v>
      </c>
      <c r="C6" s="140"/>
      <c r="D6" s="140"/>
      <c r="E6" s="141"/>
      <c r="F6" s="105"/>
      <c r="G6" s="105"/>
      <c r="H6" s="105"/>
      <c r="I6" s="105"/>
      <c r="J6" s="105"/>
      <c r="K6" s="105"/>
      <c r="L6" s="105"/>
      <c r="M6" s="105"/>
      <c r="N6" s="105"/>
      <c r="O6" s="105"/>
      <c r="P6" s="105"/>
      <c r="Q6" s="105"/>
      <c r="R6" s="105"/>
      <c r="S6" s="105"/>
      <c r="T6" s="105"/>
      <c r="U6" s="105"/>
    </row>
    <row r="7" spans="1:21" ht="15">
      <c r="A7" s="105"/>
      <c r="B7" s="142">
        <v>0.0898</v>
      </c>
      <c r="C7" s="143" t="s">
        <v>87</v>
      </c>
      <c r="D7" s="143" t="s">
        <v>230</v>
      </c>
      <c r="E7" s="144" t="s">
        <v>180</v>
      </c>
      <c r="F7" s="105"/>
      <c r="G7" s="105"/>
      <c r="H7" s="105"/>
      <c r="I7" s="105"/>
      <c r="J7" s="105"/>
      <c r="K7" s="105"/>
      <c r="L7" s="105"/>
      <c r="M7" s="105"/>
      <c r="N7" s="105"/>
      <c r="O7" s="105"/>
      <c r="P7" s="105"/>
      <c r="Q7" s="105"/>
      <c r="R7" s="105"/>
      <c r="S7" s="105"/>
      <c r="T7" s="105"/>
      <c r="U7" s="105"/>
    </row>
    <row r="8" spans="1:21" ht="15">
      <c r="A8" s="105"/>
      <c r="B8" s="139" t="s">
        <v>163</v>
      </c>
      <c r="C8" s="140"/>
      <c r="D8" s="140"/>
      <c r="E8" s="141"/>
      <c r="F8" s="105"/>
      <c r="G8" s="105"/>
      <c r="H8" s="105"/>
      <c r="I8" s="105"/>
      <c r="J8" s="105"/>
      <c r="K8" s="105"/>
      <c r="L8" s="73"/>
      <c r="M8" s="73"/>
      <c r="N8" s="73"/>
      <c r="O8" s="73"/>
      <c r="P8" s="73"/>
      <c r="Q8" s="73"/>
      <c r="R8" s="73"/>
      <c r="S8" s="73"/>
      <c r="T8" s="73"/>
      <c r="U8" s="105"/>
    </row>
    <row r="9" spans="1:21" ht="15">
      <c r="A9" s="105"/>
      <c r="B9" s="145">
        <v>2</v>
      </c>
      <c r="C9" s="143" t="s">
        <v>103</v>
      </c>
      <c r="D9" s="143"/>
      <c r="E9" s="144" t="s">
        <v>181</v>
      </c>
      <c r="F9" s="105"/>
      <c r="G9" s="105"/>
      <c r="H9" s="105"/>
      <c r="I9" s="105"/>
      <c r="J9" s="105"/>
      <c r="K9" s="105"/>
      <c r="L9" s="73"/>
      <c r="M9" s="73"/>
      <c r="N9" s="73"/>
      <c r="O9" s="73"/>
      <c r="P9" s="73"/>
      <c r="Q9" s="73"/>
      <c r="R9" s="73"/>
      <c r="S9" s="73"/>
      <c r="T9" s="73"/>
      <c r="U9" s="105"/>
    </row>
    <row r="10" spans="1:21" ht="15">
      <c r="A10" s="105"/>
      <c r="B10" s="105"/>
      <c r="C10" s="105"/>
      <c r="D10" s="105"/>
      <c r="E10" s="105"/>
      <c r="F10" s="105"/>
      <c r="G10" s="105"/>
      <c r="H10" s="105"/>
      <c r="I10" s="105"/>
      <c r="J10" s="105"/>
      <c r="K10" s="105"/>
      <c r="L10" s="73"/>
      <c r="M10" s="73"/>
      <c r="N10" s="73"/>
      <c r="O10" s="73"/>
      <c r="P10" s="73"/>
      <c r="Q10" s="73"/>
      <c r="R10" s="73"/>
      <c r="S10" s="73"/>
      <c r="T10" s="73"/>
      <c r="U10" s="105"/>
    </row>
    <row r="11" spans="1:21" ht="15">
      <c r="A11" s="105"/>
      <c r="B11" s="146" t="s">
        <v>158</v>
      </c>
      <c r="C11" s="147"/>
      <c r="D11" s="147"/>
      <c r="E11" s="147"/>
      <c r="F11" s="147"/>
      <c r="G11" s="147"/>
      <c r="H11" s="147"/>
      <c r="I11" s="147"/>
      <c r="J11" s="147"/>
      <c r="K11" s="4"/>
      <c r="L11" s="73"/>
      <c r="M11" s="73"/>
      <c r="N11" s="73"/>
      <c r="O11" s="73"/>
      <c r="P11" s="73"/>
      <c r="Q11" s="73"/>
      <c r="R11" s="73"/>
      <c r="S11" s="73"/>
      <c r="T11" s="73"/>
      <c r="U11" s="105"/>
    </row>
    <row r="12" spans="2:21" ht="15">
      <c r="B12" s="108"/>
      <c r="C12" s="108"/>
      <c r="D12" s="108"/>
      <c r="E12" s="108"/>
      <c r="F12" s="108"/>
      <c r="G12" s="108"/>
      <c r="H12" s="108"/>
      <c r="I12" s="108"/>
      <c r="J12" s="108"/>
      <c r="K12" s="105"/>
      <c r="L12" s="73"/>
      <c r="M12" s="73"/>
      <c r="N12" s="73"/>
      <c r="O12" s="73"/>
      <c r="P12" s="73"/>
      <c r="Q12" s="73"/>
      <c r="R12" s="73"/>
      <c r="S12" s="73"/>
      <c r="T12" s="73"/>
      <c r="U12" s="105"/>
    </row>
    <row r="13" spans="1:21" ht="15">
      <c r="A13" s="105">
        <v>1</v>
      </c>
      <c r="B13" s="148" t="s">
        <v>159</v>
      </c>
      <c r="C13" s="149"/>
      <c r="D13" s="149"/>
      <c r="E13" s="149"/>
      <c r="F13" s="149"/>
      <c r="G13" s="149"/>
      <c r="H13" s="149"/>
      <c r="I13" s="149"/>
      <c r="J13" s="150"/>
      <c r="K13" s="73"/>
      <c r="L13" s="73"/>
      <c r="M13" s="73"/>
      <c r="N13" s="73"/>
      <c r="O13" s="73"/>
      <c r="P13" s="73"/>
      <c r="Q13" s="73"/>
      <c r="R13" s="73"/>
      <c r="S13" s="73"/>
      <c r="T13" s="73"/>
      <c r="U13" s="105"/>
    </row>
    <row r="14" spans="1:21" ht="45" customHeight="1">
      <c r="A14" s="105"/>
      <c r="B14" s="213" t="s">
        <v>160</v>
      </c>
      <c r="C14" s="214"/>
      <c r="D14" s="214"/>
      <c r="E14" s="214"/>
      <c r="F14" s="214"/>
      <c r="G14" s="214"/>
      <c r="H14" s="214"/>
      <c r="I14" s="214"/>
      <c r="J14" s="215"/>
      <c r="K14" s="73"/>
      <c r="L14" s="73"/>
      <c r="M14" s="73"/>
      <c r="N14" s="73"/>
      <c r="O14" s="73"/>
      <c r="P14" s="73"/>
      <c r="Q14" s="73"/>
      <c r="R14" s="73"/>
      <c r="S14" s="73"/>
      <c r="T14" s="73"/>
      <c r="U14" s="105"/>
    </row>
    <row r="15" spans="1:21" ht="15">
      <c r="A15" s="105">
        <v>2</v>
      </c>
      <c r="B15" s="151" t="s">
        <v>165</v>
      </c>
      <c r="C15" s="140"/>
      <c r="D15" s="140"/>
      <c r="E15" s="140"/>
      <c r="F15" s="140"/>
      <c r="G15" s="140"/>
      <c r="H15" s="140"/>
      <c r="I15" s="140"/>
      <c r="J15" s="141"/>
      <c r="K15" s="73"/>
      <c r="L15" s="73"/>
      <c r="M15" s="73"/>
      <c r="N15" s="73"/>
      <c r="O15" s="73"/>
      <c r="P15" s="73"/>
      <c r="Q15" s="73"/>
      <c r="R15" s="73"/>
      <c r="S15" s="73"/>
      <c r="T15" s="73"/>
      <c r="U15" s="105"/>
    </row>
    <row r="16" spans="1:21" ht="47.25" customHeight="1">
      <c r="A16" s="105"/>
      <c r="B16" s="213" t="s">
        <v>166</v>
      </c>
      <c r="C16" s="214"/>
      <c r="D16" s="214"/>
      <c r="E16" s="214"/>
      <c r="F16" s="214"/>
      <c r="G16" s="214"/>
      <c r="H16" s="214"/>
      <c r="I16" s="214"/>
      <c r="J16" s="215"/>
      <c r="K16" s="73"/>
      <c r="L16" s="73"/>
      <c r="M16" s="73"/>
      <c r="N16" s="73"/>
      <c r="O16" s="73"/>
      <c r="P16" s="73"/>
      <c r="Q16" s="73"/>
      <c r="R16" s="73"/>
      <c r="S16" s="73"/>
      <c r="T16" s="73"/>
      <c r="U16" s="105"/>
    </row>
    <row r="17" spans="1:21" ht="15">
      <c r="A17" s="105">
        <v>3</v>
      </c>
      <c r="B17" s="151" t="s">
        <v>171</v>
      </c>
      <c r="C17" s="140"/>
      <c r="D17" s="140"/>
      <c r="E17" s="140"/>
      <c r="F17" s="140"/>
      <c r="G17" s="140"/>
      <c r="H17" s="140"/>
      <c r="I17" s="140"/>
      <c r="J17" s="141"/>
      <c r="K17" s="73"/>
      <c r="L17" s="73"/>
      <c r="M17" s="73"/>
      <c r="N17" s="73"/>
      <c r="O17" s="73"/>
      <c r="P17" s="73"/>
      <c r="Q17" s="73"/>
      <c r="R17" s="73"/>
      <c r="S17" s="73"/>
      <c r="T17" s="73"/>
      <c r="U17" s="105"/>
    </row>
    <row r="18" spans="1:21" ht="32.25" customHeight="1">
      <c r="A18" s="105"/>
      <c r="B18" s="213" t="s">
        <v>178</v>
      </c>
      <c r="C18" s="214"/>
      <c r="D18" s="214"/>
      <c r="E18" s="214"/>
      <c r="F18" s="214"/>
      <c r="G18" s="214"/>
      <c r="H18" s="214"/>
      <c r="I18" s="214"/>
      <c r="J18" s="215"/>
      <c r="K18" s="73"/>
      <c r="L18" s="73"/>
      <c r="M18" s="73"/>
      <c r="N18" s="73"/>
      <c r="O18" s="73"/>
      <c r="P18" s="73"/>
      <c r="Q18" s="73"/>
      <c r="R18" s="73"/>
      <c r="S18" s="73"/>
      <c r="T18" s="73"/>
      <c r="U18" s="105"/>
    </row>
    <row r="19" spans="1:21" ht="15">
      <c r="A19" s="105">
        <v>4</v>
      </c>
      <c r="B19" s="151" t="s">
        <v>172</v>
      </c>
      <c r="C19" s="140"/>
      <c r="D19" s="140"/>
      <c r="E19" s="140"/>
      <c r="F19" s="140"/>
      <c r="G19" s="140"/>
      <c r="H19" s="140"/>
      <c r="I19" s="140"/>
      <c r="J19" s="141"/>
      <c r="K19" s="73"/>
      <c r="L19" s="73"/>
      <c r="M19" s="73"/>
      <c r="N19" s="73"/>
      <c r="O19" s="73"/>
      <c r="P19" s="73"/>
      <c r="Q19" s="73"/>
      <c r="R19" s="73"/>
      <c r="S19" s="73"/>
      <c r="T19" s="73"/>
      <c r="U19" s="105"/>
    </row>
    <row r="20" spans="1:21" ht="32.25" customHeight="1">
      <c r="A20" s="105"/>
      <c r="B20" s="213" t="s">
        <v>174</v>
      </c>
      <c r="C20" s="214"/>
      <c r="D20" s="214"/>
      <c r="E20" s="214"/>
      <c r="F20" s="214"/>
      <c r="G20" s="214"/>
      <c r="H20" s="214"/>
      <c r="I20" s="214"/>
      <c r="J20" s="215"/>
      <c r="K20" s="73"/>
      <c r="L20" s="73"/>
      <c r="M20" s="73"/>
      <c r="N20" s="73"/>
      <c r="O20" s="73"/>
      <c r="P20" s="73"/>
      <c r="Q20" s="73"/>
      <c r="R20" s="73"/>
      <c r="S20" s="73"/>
      <c r="T20" s="73"/>
      <c r="U20" s="105"/>
    </row>
    <row r="21" spans="1:21" ht="15">
      <c r="A21" s="105">
        <v>5</v>
      </c>
      <c r="B21" s="151" t="s">
        <v>175</v>
      </c>
      <c r="C21" s="140"/>
      <c r="D21" s="140"/>
      <c r="E21" s="140"/>
      <c r="F21" s="140"/>
      <c r="G21" s="140"/>
      <c r="H21" s="140"/>
      <c r="I21" s="140"/>
      <c r="J21" s="141"/>
      <c r="K21" s="73"/>
      <c r="L21" s="73"/>
      <c r="M21" s="73"/>
      <c r="N21" s="73"/>
      <c r="O21" s="73"/>
      <c r="P21" s="73"/>
      <c r="Q21" s="73"/>
      <c r="R21" s="73"/>
      <c r="S21" s="73"/>
      <c r="T21" s="73"/>
      <c r="U21" s="105"/>
    </row>
    <row r="22" spans="1:21" ht="32.25" customHeight="1">
      <c r="A22" s="105"/>
      <c r="B22" s="213" t="s">
        <v>176</v>
      </c>
      <c r="C22" s="214"/>
      <c r="D22" s="214"/>
      <c r="E22" s="214"/>
      <c r="F22" s="214"/>
      <c r="G22" s="214"/>
      <c r="H22" s="214"/>
      <c r="I22" s="214"/>
      <c r="J22" s="215"/>
      <c r="K22" s="73"/>
      <c r="L22" s="73"/>
      <c r="M22" s="73"/>
      <c r="N22" s="73"/>
      <c r="O22" s="73"/>
      <c r="P22" s="73"/>
      <c r="Q22" s="73"/>
      <c r="R22" s="73"/>
      <c r="S22" s="73"/>
      <c r="T22" s="73"/>
      <c r="U22" s="105"/>
    </row>
    <row r="23" spans="1:21" ht="15">
      <c r="A23" s="105">
        <v>6</v>
      </c>
      <c r="B23" s="151" t="s">
        <v>173</v>
      </c>
      <c r="C23" s="140"/>
      <c r="D23" s="140"/>
      <c r="E23" s="140"/>
      <c r="F23" s="140"/>
      <c r="G23" s="140"/>
      <c r="H23" s="140"/>
      <c r="I23" s="140"/>
      <c r="J23" s="141"/>
      <c r="K23" s="73"/>
      <c r="L23" s="73"/>
      <c r="M23" s="73"/>
      <c r="N23" s="73"/>
      <c r="O23" s="73"/>
      <c r="P23" s="73"/>
      <c r="Q23" s="73"/>
      <c r="R23" s="73"/>
      <c r="S23" s="73"/>
      <c r="T23" s="73"/>
      <c r="U23" s="105"/>
    </row>
    <row r="24" spans="1:21" ht="30.75" customHeight="1">
      <c r="A24" s="105"/>
      <c r="B24" s="213" t="s">
        <v>177</v>
      </c>
      <c r="C24" s="214"/>
      <c r="D24" s="214"/>
      <c r="E24" s="214"/>
      <c r="F24" s="214"/>
      <c r="G24" s="214"/>
      <c r="H24" s="214"/>
      <c r="I24" s="214"/>
      <c r="J24" s="215"/>
      <c r="K24" s="73"/>
      <c r="L24" s="73"/>
      <c r="M24" s="73"/>
      <c r="N24" s="73"/>
      <c r="O24" s="73"/>
      <c r="P24" s="73"/>
      <c r="Q24" s="73"/>
      <c r="R24" s="73"/>
      <c r="S24" s="73"/>
      <c r="T24" s="73"/>
      <c r="U24" s="105"/>
    </row>
    <row r="25" spans="1:21" ht="15">
      <c r="A25" s="105">
        <v>7</v>
      </c>
      <c r="B25" s="151" t="s">
        <v>185</v>
      </c>
      <c r="C25" s="140"/>
      <c r="D25" s="140"/>
      <c r="E25" s="140"/>
      <c r="F25" s="140"/>
      <c r="G25" s="140"/>
      <c r="H25" s="140"/>
      <c r="I25" s="140"/>
      <c r="J25" s="141"/>
      <c r="K25" s="73"/>
      <c r="L25" s="73"/>
      <c r="M25" s="73"/>
      <c r="N25" s="73"/>
      <c r="O25" s="73"/>
      <c r="P25" s="73"/>
      <c r="Q25" s="73"/>
      <c r="R25" s="73"/>
      <c r="S25" s="73"/>
      <c r="T25" s="73"/>
      <c r="U25" s="105"/>
    </row>
    <row r="26" spans="1:21" ht="30.75" customHeight="1">
      <c r="A26" s="105"/>
      <c r="B26" s="213" t="s">
        <v>186</v>
      </c>
      <c r="C26" s="214"/>
      <c r="D26" s="214"/>
      <c r="E26" s="214"/>
      <c r="F26" s="214"/>
      <c r="G26" s="214"/>
      <c r="H26" s="214"/>
      <c r="I26" s="214"/>
      <c r="J26" s="215"/>
      <c r="K26" s="73"/>
      <c r="L26" s="73"/>
      <c r="M26" s="73"/>
      <c r="N26" s="73"/>
      <c r="O26" s="73"/>
      <c r="P26" s="73"/>
      <c r="Q26" s="73"/>
      <c r="R26" s="73"/>
      <c r="S26" s="73"/>
      <c r="T26" s="73"/>
      <c r="U26" s="105"/>
    </row>
    <row r="27" spans="1:21" ht="15">
      <c r="A27" s="105">
        <v>8</v>
      </c>
      <c r="B27" s="151" t="s">
        <v>184</v>
      </c>
      <c r="C27" s="140"/>
      <c r="D27" s="140"/>
      <c r="E27" s="140"/>
      <c r="F27" s="140"/>
      <c r="G27" s="140"/>
      <c r="H27" s="140"/>
      <c r="I27" s="140"/>
      <c r="J27" s="141"/>
      <c r="K27" s="73"/>
      <c r="L27" s="73"/>
      <c r="M27" s="73"/>
      <c r="N27" s="73"/>
      <c r="O27" s="73"/>
      <c r="P27" s="73"/>
      <c r="Q27" s="73"/>
      <c r="R27" s="73"/>
      <c r="S27" s="73"/>
      <c r="T27" s="73"/>
      <c r="U27" s="105"/>
    </row>
    <row r="28" spans="1:21" ht="15">
      <c r="A28" s="105"/>
      <c r="B28" s="204" t="s">
        <v>183</v>
      </c>
      <c r="C28" s="205"/>
      <c r="D28" s="205"/>
      <c r="E28" s="205"/>
      <c r="F28" s="205"/>
      <c r="G28" s="205"/>
      <c r="H28" s="205"/>
      <c r="I28" s="205"/>
      <c r="J28" s="206"/>
      <c r="K28" s="73"/>
      <c r="L28" s="73"/>
      <c r="M28" s="73"/>
      <c r="N28" s="73"/>
      <c r="O28" s="73"/>
      <c r="P28" s="73"/>
      <c r="Q28" s="73"/>
      <c r="R28" s="73"/>
      <c r="S28" s="73"/>
      <c r="T28" s="73"/>
      <c r="U28" s="105"/>
    </row>
    <row r="29" spans="1:21" ht="15">
      <c r="A29" s="105">
        <v>9</v>
      </c>
      <c r="B29" s="151" t="s">
        <v>200</v>
      </c>
      <c r="C29" s="140"/>
      <c r="D29" s="140"/>
      <c r="E29" s="140"/>
      <c r="F29" s="140"/>
      <c r="G29" s="140"/>
      <c r="H29" s="140"/>
      <c r="I29" s="140"/>
      <c r="J29" s="141"/>
      <c r="K29" s="73"/>
      <c r="L29" s="73"/>
      <c r="M29" s="73"/>
      <c r="N29" s="73"/>
      <c r="O29" s="73"/>
      <c r="P29" s="73"/>
      <c r="Q29" s="73"/>
      <c r="R29" s="73"/>
      <c r="S29" s="73"/>
      <c r="T29" s="73"/>
      <c r="U29" s="105"/>
    </row>
    <row r="30" spans="1:21" ht="15">
      <c r="A30" s="105"/>
      <c r="B30" s="152" t="s">
        <v>187</v>
      </c>
      <c r="C30" s="143"/>
      <c r="D30" s="143"/>
      <c r="E30" s="143"/>
      <c r="F30" s="143"/>
      <c r="G30" s="143"/>
      <c r="H30" s="143"/>
      <c r="I30" s="143"/>
      <c r="J30" s="153"/>
      <c r="K30" s="73"/>
      <c r="L30" s="73"/>
      <c r="M30" s="73"/>
      <c r="N30" s="73"/>
      <c r="O30" s="73"/>
      <c r="P30" s="73"/>
      <c r="Q30" s="73"/>
      <c r="R30" s="73"/>
      <c r="S30" s="73"/>
      <c r="T30" s="73"/>
      <c r="U30" s="105"/>
    </row>
    <row r="31" spans="1:21" ht="15">
      <c r="A31" s="105"/>
      <c r="B31" s="105"/>
      <c r="C31" s="105"/>
      <c r="D31" s="105"/>
      <c r="E31" s="105"/>
      <c r="F31" s="105"/>
      <c r="G31" s="105"/>
      <c r="H31" s="105"/>
      <c r="I31" s="105"/>
      <c r="J31" s="105"/>
      <c r="K31" s="105"/>
      <c r="L31" s="73"/>
      <c r="M31" s="73"/>
      <c r="N31" s="73"/>
      <c r="O31" s="73"/>
      <c r="P31" s="73"/>
      <c r="Q31" s="73"/>
      <c r="R31" s="73"/>
      <c r="S31" s="73"/>
      <c r="T31" s="73"/>
      <c r="U31" s="105"/>
    </row>
    <row r="32" spans="1:21" ht="15">
      <c r="A32" s="105"/>
      <c r="L32" s="73"/>
      <c r="M32" s="73"/>
      <c r="N32" s="73"/>
      <c r="O32" s="73"/>
      <c r="P32" s="73"/>
      <c r="Q32" s="73"/>
      <c r="R32" s="73"/>
      <c r="S32" s="73"/>
      <c r="T32" s="73"/>
      <c r="U32" s="105"/>
    </row>
    <row r="33" spans="1:21" ht="15">
      <c r="A33" s="105"/>
      <c r="L33" s="73"/>
      <c r="M33" s="73"/>
      <c r="N33" s="73"/>
      <c r="O33" s="73"/>
      <c r="P33" s="73"/>
      <c r="Q33" s="73"/>
      <c r="R33" s="73"/>
      <c r="S33" s="73"/>
      <c r="T33" s="73"/>
      <c r="U33" s="105"/>
    </row>
    <row r="34" spans="1:21" ht="15">
      <c r="A34" s="105"/>
      <c r="L34" s="105"/>
      <c r="M34" s="105"/>
      <c r="N34" s="105"/>
      <c r="O34" s="105"/>
      <c r="P34" s="105"/>
      <c r="Q34" s="105"/>
      <c r="R34" s="105"/>
      <c r="S34" s="105"/>
      <c r="T34" s="105"/>
      <c r="U34" s="105"/>
    </row>
    <row r="35" ht="31.5" customHeight="1"/>
    <row r="37" spans="2:11" ht="15">
      <c r="B37" s="138" t="s">
        <v>199</v>
      </c>
      <c r="C37" s="4"/>
      <c r="D37" s="4"/>
      <c r="E37" s="4"/>
      <c r="F37" s="4"/>
      <c r="G37" s="4"/>
      <c r="H37" s="4"/>
      <c r="I37" s="4"/>
      <c r="J37" s="4"/>
      <c r="K37" s="4"/>
    </row>
    <row r="38" spans="2:11" ht="15">
      <c r="B38" s="105"/>
      <c r="C38" s="105"/>
      <c r="D38" s="105"/>
      <c r="E38" s="105"/>
      <c r="F38" s="105"/>
      <c r="G38" s="105"/>
      <c r="H38" s="105"/>
      <c r="I38" s="105"/>
      <c r="J38" s="105"/>
      <c r="K38" s="105"/>
    </row>
    <row r="39" spans="2:11" ht="15">
      <c r="B39" s="157" t="s">
        <v>201</v>
      </c>
      <c r="C39" s="140"/>
      <c r="D39" s="140"/>
      <c r="E39" s="140"/>
      <c r="F39" s="140"/>
      <c r="G39" s="140"/>
      <c r="H39" s="140"/>
      <c r="I39" s="140"/>
      <c r="J39" s="140"/>
      <c r="K39" s="141"/>
    </row>
    <row r="40" spans="2:11" ht="30" customHeight="1">
      <c r="B40" s="207" t="s">
        <v>206</v>
      </c>
      <c r="C40" s="208"/>
      <c r="D40" s="208"/>
      <c r="E40" s="208"/>
      <c r="F40" s="208"/>
      <c r="G40" s="208"/>
      <c r="H40" s="208"/>
      <c r="I40" s="208"/>
      <c r="J40" s="208"/>
      <c r="K40" s="209"/>
    </row>
    <row r="41" spans="2:11" ht="15">
      <c r="B41" s="157" t="s">
        <v>202</v>
      </c>
      <c r="C41" s="140"/>
      <c r="D41" s="140"/>
      <c r="E41" s="140"/>
      <c r="F41" s="140"/>
      <c r="G41" s="140"/>
      <c r="H41" s="140"/>
      <c r="I41" s="140"/>
      <c r="J41" s="140"/>
      <c r="K41" s="141"/>
    </row>
    <row r="42" spans="2:11" ht="15">
      <c r="B42" s="158" t="s">
        <v>207</v>
      </c>
      <c r="C42" s="143"/>
      <c r="D42" s="143"/>
      <c r="E42" s="143"/>
      <c r="F42" s="143"/>
      <c r="G42" s="143"/>
      <c r="H42" s="143"/>
      <c r="I42" s="143"/>
      <c r="J42" s="143"/>
      <c r="K42" s="153"/>
    </row>
    <row r="43" spans="2:11" ht="15">
      <c r="B43" s="157" t="s">
        <v>213</v>
      </c>
      <c r="C43" s="140"/>
      <c r="D43" s="140"/>
      <c r="E43" s="140"/>
      <c r="F43" s="140"/>
      <c r="G43" s="140"/>
      <c r="H43" s="140"/>
      <c r="I43" s="140"/>
      <c r="J43" s="140"/>
      <c r="K43" s="141"/>
    </row>
    <row r="44" spans="1:11" ht="15">
      <c r="A44" s="159"/>
      <c r="B44" s="160" t="s">
        <v>204</v>
      </c>
      <c r="C44" s="161"/>
      <c r="D44" s="161"/>
      <c r="E44" s="161"/>
      <c r="F44" s="161"/>
      <c r="G44" s="161"/>
      <c r="H44" s="161"/>
      <c r="I44" s="161"/>
      <c r="J44" s="161"/>
      <c r="K44" s="162"/>
    </row>
    <row r="45" spans="2:11" ht="15">
      <c r="B45" s="157" t="s">
        <v>203</v>
      </c>
      <c r="C45" s="140"/>
      <c r="D45" s="140"/>
      <c r="E45" s="140"/>
      <c r="F45" s="140"/>
      <c r="G45" s="140"/>
      <c r="H45" s="140"/>
      <c r="I45" s="140"/>
      <c r="J45" s="140"/>
      <c r="K45" s="141"/>
    </row>
    <row r="46" spans="2:11" ht="15">
      <c r="B46" s="158" t="s">
        <v>210</v>
      </c>
      <c r="C46" s="143"/>
      <c r="D46" s="143"/>
      <c r="E46" s="143"/>
      <c r="F46" s="143"/>
      <c r="G46" s="143"/>
      <c r="H46" s="143"/>
      <c r="I46" s="143"/>
      <c r="J46" s="143"/>
      <c r="K46" s="153"/>
    </row>
    <row r="47" spans="1:11" ht="15">
      <c r="A47" s="159"/>
      <c r="B47" s="157" t="s">
        <v>211</v>
      </c>
      <c r="C47" s="163"/>
      <c r="D47" s="140"/>
      <c r="E47" s="140"/>
      <c r="F47" s="140"/>
      <c r="G47" s="140"/>
      <c r="H47" s="140"/>
      <c r="I47" s="140"/>
      <c r="J47" s="140"/>
      <c r="K47" s="141"/>
    </row>
    <row r="48" spans="1:11" ht="15">
      <c r="A48" s="159"/>
      <c r="B48" s="160" t="s">
        <v>212</v>
      </c>
      <c r="C48" s="161"/>
      <c r="D48" s="143"/>
      <c r="E48" s="143"/>
      <c r="F48" s="143"/>
      <c r="G48" s="143"/>
      <c r="H48" s="143"/>
      <c r="I48" s="143"/>
      <c r="J48" s="143"/>
      <c r="K48" s="153"/>
    </row>
    <row r="49" spans="2:11" ht="15">
      <c r="B49" s="157" t="s">
        <v>216</v>
      </c>
      <c r="C49" s="140"/>
      <c r="D49" s="140"/>
      <c r="E49" s="140"/>
      <c r="F49" s="140"/>
      <c r="G49" s="140"/>
      <c r="H49" s="140"/>
      <c r="I49" s="140"/>
      <c r="J49" s="140"/>
      <c r="K49" s="141"/>
    </row>
    <row r="50" spans="2:11" ht="15">
      <c r="B50" s="158" t="s">
        <v>218</v>
      </c>
      <c r="C50" s="143"/>
      <c r="D50" s="143"/>
      <c r="E50" s="143"/>
      <c r="F50" s="143"/>
      <c r="G50" s="143"/>
      <c r="H50" s="143"/>
      <c r="I50" s="143"/>
      <c r="J50" s="143"/>
      <c r="K50" s="153"/>
    </row>
    <row r="51" spans="2:11" ht="15">
      <c r="B51" s="157" t="s">
        <v>214</v>
      </c>
      <c r="C51" s="140"/>
      <c r="D51" s="140"/>
      <c r="E51" s="140"/>
      <c r="F51" s="140"/>
      <c r="G51" s="140"/>
      <c r="H51" s="140"/>
      <c r="I51" s="140"/>
      <c r="J51" s="140"/>
      <c r="K51" s="141"/>
    </row>
    <row r="52" spans="2:11" ht="15">
      <c r="B52" s="158" t="s">
        <v>215</v>
      </c>
      <c r="C52" s="143"/>
      <c r="D52" s="143"/>
      <c r="E52" s="143"/>
      <c r="F52" s="143"/>
      <c r="G52" s="143"/>
      <c r="H52" s="143"/>
      <c r="I52" s="143"/>
      <c r="J52" s="143"/>
      <c r="K52" s="153"/>
    </row>
    <row r="53" spans="2:11" ht="15">
      <c r="B53" s="157" t="s">
        <v>109</v>
      </c>
      <c r="C53" s="140"/>
      <c r="D53" s="140"/>
      <c r="E53" s="140"/>
      <c r="F53" s="140"/>
      <c r="G53" s="140"/>
      <c r="H53" s="140"/>
      <c r="I53" s="140"/>
      <c r="J53" s="140"/>
      <c r="K53" s="141"/>
    </row>
    <row r="54" spans="2:11" ht="15">
      <c r="B54" s="158" t="s">
        <v>219</v>
      </c>
      <c r="C54" s="143"/>
      <c r="D54" s="143"/>
      <c r="E54" s="143"/>
      <c r="F54" s="143"/>
      <c r="G54" s="143"/>
      <c r="H54" s="143"/>
      <c r="I54" s="143"/>
      <c r="J54" s="143"/>
      <c r="K54" s="153"/>
    </row>
    <row r="55" spans="2:11" ht="15">
      <c r="B55" s="157" t="s">
        <v>220</v>
      </c>
      <c r="C55" s="140"/>
      <c r="D55" s="140"/>
      <c r="E55" s="140"/>
      <c r="F55" s="140"/>
      <c r="G55" s="140"/>
      <c r="H55" s="140"/>
      <c r="I55" s="140"/>
      <c r="J55" s="140"/>
      <c r="K55" s="141"/>
    </row>
    <row r="56" spans="2:11" ht="15">
      <c r="B56" s="158" t="s">
        <v>221</v>
      </c>
      <c r="C56" s="143"/>
      <c r="D56" s="143"/>
      <c r="E56" s="143"/>
      <c r="F56" s="143"/>
      <c r="G56" s="143"/>
      <c r="H56" s="143"/>
      <c r="I56" s="143"/>
      <c r="J56" s="143"/>
      <c r="K56" s="153"/>
    </row>
    <row r="58" spans="2:11" ht="15">
      <c r="B58" s="154" t="s">
        <v>222</v>
      </c>
      <c r="C58" s="155"/>
      <c r="D58" s="155"/>
      <c r="E58" s="155"/>
      <c r="F58" s="155"/>
      <c r="G58" s="155"/>
      <c r="H58" s="155"/>
      <c r="I58" s="155"/>
      <c r="J58" s="155"/>
      <c r="K58" s="156"/>
    </row>
    <row r="59" spans="2:11" ht="59.25" customHeight="1">
      <c r="B59" s="210" t="s">
        <v>223</v>
      </c>
      <c r="C59" s="211"/>
      <c r="D59" s="211"/>
      <c r="E59" s="211"/>
      <c r="F59" s="211"/>
      <c r="G59" s="211"/>
      <c r="H59" s="211"/>
      <c r="I59" s="211"/>
      <c r="J59" s="211"/>
      <c r="K59" s="212"/>
    </row>
  </sheetData>
  <sheetProtection/>
  <mergeCells count="10">
    <mergeCell ref="B28:J28"/>
    <mergeCell ref="B40:K40"/>
    <mergeCell ref="B59:K59"/>
    <mergeCell ref="B14:J14"/>
    <mergeCell ref="B16:J16"/>
    <mergeCell ref="B18:J18"/>
    <mergeCell ref="B22:J22"/>
    <mergeCell ref="B24:J24"/>
    <mergeCell ref="B26:J26"/>
    <mergeCell ref="B20:J20"/>
  </mergeCells>
  <hyperlinks>
    <hyperlink ref="B14" r:id="rId1" display="http://www.energystar.gov/index.cfm?fuseaction=find_a_product.showProductGroup&amp;pgw_code=MO&amp;pd_code=MON&amp;resultsPerPage=510&amp;sortParameter=brand_name&amp;startnum=1&amp;letter=ALL"/>
    <hyperlink ref="B16" r:id="rId2" display="http://www.energystar.gov/index.cfm?fuseaction=find_a_product.showSearchResults&amp;pgw_code=MO&amp;pd_code=MON&amp;sortParameter=brand_name&amp;letter=ALL&amp;startnum=1&amp;resultsperpage=510"/>
    <hyperlink ref="B18" r:id="rId3" display="http://www.acer.ca/acer/product.do?link=oln85e.redirect&amp;changedAlts=&amp;kcond48e.c2att101=-1&amp;CRC=2759084358"/>
    <hyperlink ref="B20" r:id="rId4" display="http://accessories.us.dell.com/sna/category.aspx?category_id=4009&amp;c=ca&amp;l=en&amp;s=bsd"/>
    <hyperlink ref="B22" r:id="rId5" display="http://www.hp.com/canada/products/landing/monitors/business_monitors.html?jumpid=re_r552_ca/any/psg/volumeLead_prod_ref/gw"/>
    <hyperlink ref="B24" r:id="rId6" display="http://shop.lenovo.com/SEUILibrary/controller/e/webca/LenovoPortal/en_CA/catalog.workflow:show-category-with-items?category-id=2FAF239B768947AD95895F826C34447E"/>
    <hyperlink ref="B26" r:id="rId7" display="http://www.plugintogreencanada.com/step1_elec_only_calc.php/Emissions_from_Electricity/196/47/0"/>
    <hyperlink ref="B28" r:id="rId8" display="http://www.kingstonhydro.com/Commercial/Rates.aspx"/>
    <hyperlink ref="B30" r:id="rId9" display="http://www.bankofcanada.ca/en/inflation/"/>
    <hyperlink ref="E5" location="RefEmissions" display="[7]"/>
    <hyperlink ref="E7" location="RefCostElec" display="[8]"/>
    <hyperlink ref="E9" location="RefInflaElec" display="[9]"/>
    <hyperlink ref="B44" location="'Assumptions &amp; References'!B7" display="$/year = (Total electricity use)(Cost of electricity)"/>
    <hyperlink ref="B48" location="'Assumptions &amp; References'!B5" display="kg CO2/year = (CO2 produced from energy consumption)(Electricity savings)"/>
  </hyperlinks>
  <printOptions gridLines="1"/>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2010-02-10T02:06:10Z</cp:lastPrinted>
  <dcterms:created xsi:type="dcterms:W3CDTF">2010-02-04T17:06:02Z</dcterms:created>
  <dcterms:modified xsi:type="dcterms:W3CDTF">2010-02-13T05:39:38Z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