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65" yWindow="65521" windowWidth="14025" windowHeight="10845" tabRatio="873" activeTab="5"/>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externalReferences>
    <externalReference r:id="rId9"/>
    <externalReference r:id="rId10"/>
  </externalReferences>
  <definedNames>
    <definedName name="assump_1">'6.Assumptions &amp; References'!$C$6</definedName>
    <definedName name="assump_10">'6.Assumptions &amp; References'!$C$67</definedName>
    <definedName name="assump_11">'6.Assumptions &amp; References'!$C$72</definedName>
    <definedName name="assump_12">'6.Assumptions &amp; References'!$C$75</definedName>
    <definedName name="assump_13">'6.Assumptions &amp; References'!$C$78</definedName>
    <definedName name="assump_14">'6.Assumptions &amp; References'!$C$81</definedName>
    <definedName name="Assump_15">'6.Assumptions &amp; References'!$C$84</definedName>
    <definedName name="assump_16">'6.Assumptions &amp; References'!$C$87</definedName>
    <definedName name="assump_17">'6.Assumptions &amp; References'!$C$91</definedName>
    <definedName name="assump_18">'6.Assumptions &amp; References'!$C$93</definedName>
    <definedName name="assump_2">'6.Assumptions &amp; References'!$C$13</definedName>
    <definedName name="assump_3">'6.Assumptions &amp; References'!$C$21</definedName>
    <definedName name="assump_4">'6.Assumptions &amp; References'!$C$24</definedName>
    <definedName name="assump_5">'6.Assumptions &amp; References'!$C$26</definedName>
    <definedName name="assump_6">'6.Assumptions &amp; References'!$C$32</definedName>
    <definedName name="assump_7">'6.Assumptions &amp; References'!$C$45</definedName>
    <definedName name="assump_8">'6.Assumptions &amp; References'!$C$59</definedName>
    <definedName name="assump_9">'6.Assumptions &amp; References'!$C$63</definedName>
    <definedName name="Assump1">'6.Assumptions &amp; References'!$C$5</definedName>
    <definedName name="assumption_4">'6.Assumptions &amp; References'!#REF!</definedName>
    <definedName name="avg_desktop_price_recommended">'6.Assumptions &amp; References'!$D$26</definedName>
    <definedName name="Baseline">'[1]6.Assumptions &amp; References'!#REF!</definedName>
    <definedName name="BaselineCF">'[1]6.Assumptions &amp; References'!#REF!</definedName>
    <definedName name="calculations">'5.Projected Savings'!$D$5</definedName>
    <definedName name="carbon_emission_constant">'6.Assumptions &amp; References'!$D$67</definedName>
    <definedName name="cash_flow_plots">'4.Executive Summary'!$C$30</definedName>
    <definedName name="cashflows__IRR__carbon_savings">'5.Projected Savings'!$D$68</definedName>
    <definedName name="commercial_electricity_rate">'6.Assumptions &amp; References'!$D$59</definedName>
    <definedName name="ElecPerMon">'[1]6.Assumptions &amp; References'!#REF!</definedName>
    <definedName name="ElecSave">'[1]6.Assumptions &amp; References'!#REF!</definedName>
    <definedName name="Example_Situation">#REF!</definedName>
    <definedName name="Executive_Summary">'4.Executive Summary'!$C$5</definedName>
    <definedName name="how_to_find_W">'6.Assumptions &amp; References'!$C$45</definedName>
    <definedName name="Input_Values">'3.Inputs'!$D$5</definedName>
    <definedName name="Introduction">'2.Introduction'!$C$5</definedName>
    <definedName name="IRR">'[1]6.Assumptions &amp; References'!#REF!</definedName>
    <definedName name="IRR_values">'4.Executive Summary'!$E$23</definedName>
    <definedName name="Manufacturers" localSheetId="0">'[2]Projected Savings'!#REF!</definedName>
    <definedName name="NOx_emission_constant">'6.Assumptions &amp; References'!$D$72</definedName>
    <definedName name="percent_fossil_fuel">'6.Assumptions &amp; References'!$D$78</definedName>
    <definedName name="PredCostElec">'[1]6.Assumptions &amp; References'!#REF!</definedName>
    <definedName name="_xlnm.Print_Area" localSheetId="0">'1.Home'!$C$3:$K$45</definedName>
    <definedName name="_xlnm.Print_Area" localSheetId="1">'2.Introduction'!$C$3:$T$119</definedName>
    <definedName name="_xlnm.Print_Area" localSheetId="2">'3.Inputs'!$C$3:$K$38</definedName>
    <definedName name="_xlnm.Print_Area" localSheetId="3">'4.Executive Summary'!$C$3:$O$54</definedName>
    <definedName name="_xlnm.Print_Area" localSheetId="4">'5.Projected Savings'!$C$3:$K$120</definedName>
    <definedName name="_xlnm.Print_Area" localSheetId="5">'6.Assumptions &amp; References'!$C$3:$M$101</definedName>
    <definedName name="RedEm">'[1]6.Assumptions &amp; References'!#REF!</definedName>
    <definedName name="reduced_emissions_plots">'4.Executive Summary'!$C$64</definedName>
    <definedName name="SO2_emissions_constant">'6.Assumptions &amp; References'!$D$75</definedName>
    <definedName name="table_1_alternative_green_computers">'6.Assumptions &amp; References'!$F$32</definedName>
    <definedName name="table_of_computers">'6.Assumptions &amp; References'!$C$32</definedName>
    <definedName name="TotElec">'[1]6.Assumptions &amp; References'!#REF!</definedName>
    <definedName name="YearlyCF">'[1]6.Assumptions &amp; References'!#REF!</definedName>
  </definedNames>
  <calcPr fullCalcOnLoad="1"/>
</workbook>
</file>

<file path=xl/sharedStrings.xml><?xml version="1.0" encoding="utf-8"?>
<sst xmlns="http://schemas.openxmlformats.org/spreadsheetml/2006/main" count="508" uniqueCount="337">
  <si>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</si>
  <si>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</si>
  <si>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</si>
  <si>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</si>
  <si>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</si>
  <si>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</si>
  <si>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</si>
  <si>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</si>
  <si>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</si>
  <si>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</si>
  <si>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</si>
  <si>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</si>
  <si>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</si>
  <si>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many computers does your company use?</t>
  </si>
  <si>
    <t>How many computers are you looking to replace?</t>
  </si>
  <si>
    <t># stations</t>
  </si>
  <si>
    <t>$/kWh</t>
  </si>
  <si>
    <t>hrs</t>
  </si>
  <si>
    <t>Year 1</t>
  </si>
  <si>
    <t>Year 2</t>
  </si>
  <si>
    <t>Year 3</t>
  </si>
  <si>
    <t>Year 4</t>
  </si>
  <si>
    <t>Year 5</t>
  </si>
  <si>
    <t>%</t>
  </si>
  <si>
    <t>Green Alternative</t>
  </si>
  <si>
    <t>Calculations</t>
  </si>
  <si>
    <t>Current Computers</t>
  </si>
  <si>
    <t>Executive Summary</t>
  </si>
  <si>
    <t>kg/kWh</t>
  </si>
  <si>
    <t>Carbon emissions per kWh of electricity used</t>
  </si>
  <si>
    <t>http://www.plugintogreencanada.com/step1_elec_only_calc.php/Emissions_from_Electricity/196/47/0</t>
  </si>
  <si>
    <t>Can input province, billing month and consumer type as well as electricity used or bill amount</t>
  </si>
  <si>
    <t>http://www.kingstonhydro.com/Commercial/Rates.aspx</t>
  </si>
  <si>
    <t>http://www.bankofcanada.ca/en/inflation/</t>
  </si>
  <si>
    <t>Inflation rate in Canada</t>
  </si>
  <si>
    <t>What is the value of work done at home or on the road to your company?</t>
  </si>
  <si>
    <t>hrs/week</t>
  </si>
  <si>
    <t>Cash Flows from Savings</t>
  </si>
  <si>
    <t>Cash Flows from Productivity</t>
  </si>
  <si>
    <t>Baseline</t>
  </si>
  <si>
    <t>Dell Latitude 2100</t>
  </si>
  <si>
    <t>Acer Travel Mate 5530</t>
  </si>
  <si>
    <t>Model</t>
  </si>
  <si>
    <t>Universal Docking Station</t>
  </si>
  <si>
    <t>price reference</t>
  </si>
  <si>
    <t>energy reference</t>
  </si>
  <si>
    <t>http://www.codinghorror.com/blog/archives/000562.html</t>
  </si>
  <si>
    <t>Replacing Desktops With Energy Efficient Laptops</t>
  </si>
  <si>
    <t>Click to go back to Input Page</t>
  </si>
  <si>
    <t>Company Profile</t>
  </si>
  <si>
    <t>How many working weeks per year for your company?</t>
  </si>
  <si>
    <t>A</t>
  </si>
  <si>
    <t>B</t>
  </si>
  <si>
    <t>C</t>
  </si>
  <si>
    <t>D</t>
  </si>
  <si>
    <t>E</t>
  </si>
  <si>
    <t>F</t>
  </si>
  <si>
    <t>G</t>
  </si>
  <si>
    <t>H</t>
  </si>
  <si>
    <t>weeks</t>
  </si>
  <si>
    <t>I</t>
  </si>
  <si>
    <t>J</t>
  </si>
  <si>
    <t>K</t>
  </si>
  <si>
    <t>L</t>
  </si>
  <si>
    <t>M</t>
  </si>
  <si>
    <t>weeks/year</t>
  </si>
  <si>
    <t>hrs/year</t>
  </si>
  <si>
    <t>N</t>
  </si>
  <si>
    <t>O</t>
  </si>
  <si>
    <t>P</t>
  </si>
  <si>
    <t>Q</t>
  </si>
  <si>
    <t>R</t>
  </si>
  <si>
    <t>S</t>
  </si>
  <si>
    <t>T</t>
  </si>
  <si>
    <t>U</t>
  </si>
  <si>
    <t>A1</t>
  </si>
  <si>
    <t>B1</t>
  </si>
  <si>
    <t>C1</t>
  </si>
  <si>
    <t>D1</t>
  </si>
  <si>
    <t>E1</t>
  </si>
  <si>
    <t>Assumptions/References/Help</t>
  </si>
  <si>
    <t>This is an average price recommended to use if you are unsure of the current price of your PC.</t>
  </si>
  <si>
    <t>desktop picture adapted from:</t>
  </si>
  <si>
    <t>http://www.gearfuse.com/wp-content/uploads/andrew/4_mar07/thinkcentre_m52_tower_1.jpg</t>
  </si>
  <si>
    <t>Power Produced By Fossil Fuels</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</si>
  <si>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</si>
  <si>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</si>
  <si>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</si>
  <si>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</si>
  <si>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Current Model</t>
  </si>
  <si>
    <t>Productivity</t>
  </si>
  <si>
    <t>Carbon Emissions</t>
  </si>
  <si>
    <t>SO2 Emissions</t>
  </si>
  <si>
    <t>Nox Emissions</t>
  </si>
  <si>
    <t>V</t>
  </si>
  <si>
    <t>X</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</si>
  <si>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</si>
  <si>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</si>
  <si>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</si>
  <si>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</si>
  <si>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</si>
  <si>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</si>
  <si>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</si>
  <si>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</si>
  <si>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</si>
  <si>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</si>
  <si>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</si>
  <si>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</si>
  <si>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</si>
  <si>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</si>
  <si>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</si>
  <si>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</si>
  <si>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</si>
  <si>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</si>
  <si>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</si>
  <si>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</si>
  <si>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Assumptions/References</t>
  </si>
  <si>
    <t>How many hours per day are these computers on (average working day)?</t>
  </si>
  <si>
    <t>How many days a week are these desktops on (average working week)?</t>
  </si>
  <si>
    <t>How many hours per day are these computers in sleep mode?</t>
  </si>
  <si>
    <t>Pictures adapted from [1]</t>
  </si>
  <si>
    <t>Z</t>
  </si>
  <si>
    <t>How many docking stations would you like to purchase?</t>
  </si>
  <si>
    <t>What is the cost of a docking station for this laptop?</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</si>
  <si>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</si>
  <si>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</si>
  <si>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</si>
  <si>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</si>
  <si>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</si>
  <si>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</si>
  <si>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</si>
  <si>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</si>
  <si>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Dell latitude E4200</t>
  </si>
  <si>
    <t xml:space="preserve">Computers are turned off for the remainder of the week (7days - # of working days)  </t>
  </si>
  <si>
    <t>and no power is supplied to them.</t>
  </si>
  <si>
    <t>Number of hours for IT to re-image a computer</t>
  </si>
  <si>
    <t>Soft Costs</t>
  </si>
  <si>
    <t>A5</t>
  </si>
  <si>
    <t>B5</t>
  </si>
  <si>
    <t>C5</t>
  </si>
  <si>
    <t>D5</t>
  </si>
  <si>
    <t>hr</t>
  </si>
  <si>
    <t xml:space="preserve">When your company is already planning to replace computers, the cost to image will be equal </t>
  </si>
  <si>
    <t>regardless of what type of computer you purchase, therefore IT soft costs only come into effect</t>
  </si>
  <si>
    <t>Computer Time</t>
  </si>
  <si>
    <t>(from input page)</t>
  </si>
  <si>
    <t>(C*D)</t>
  </si>
  <si>
    <t>(F*D)</t>
  </si>
  <si>
    <t>(E*H)</t>
  </si>
  <si>
    <t>(G*H)</t>
  </si>
  <si>
    <t>(current model)</t>
  </si>
  <si>
    <t xml:space="preserve">Current energy cost per year per computer </t>
  </si>
  <si>
    <t>(M* $/kWh)</t>
  </si>
  <si>
    <t>((K*I) +(L*J) ) /1000</t>
  </si>
  <si>
    <t>(B*O)</t>
  </si>
  <si>
    <t>(green alternative)</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</si>
  <si>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</si>
  <si>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</si>
  <si>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</si>
  <si>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</si>
  <si>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</si>
  <si>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Number of docking stations to be purchased </t>
  </si>
  <si>
    <t>(W + Y)</t>
  </si>
  <si>
    <t>(A*J)-((J*(A-B)) +(B*P))</t>
  </si>
  <si>
    <t>(A*J) - (B*P)</t>
  </si>
  <si>
    <t>(B1 * H)</t>
  </si>
  <si>
    <t>(C1 * B)</t>
  </si>
  <si>
    <t>(C1 * A)</t>
  </si>
  <si>
    <t>(D1 * A1)</t>
  </si>
  <si>
    <t>(E1 * A1)</t>
  </si>
  <si>
    <t>(M* kg/kWh)</t>
  </si>
  <si>
    <t>(S*kg/kWh)</t>
  </si>
  <si>
    <t xml:space="preserve">Current total annual carbon emissions from computers </t>
  </si>
  <si>
    <t>(A2*A)</t>
  </si>
  <si>
    <t>(B2*A)</t>
  </si>
  <si>
    <t>((B2*B)+(A2*(A-B))</t>
  </si>
  <si>
    <t>(M* kg/kWh*%ff)</t>
  </si>
  <si>
    <t>(S*kg/kWh*%ff)</t>
  </si>
  <si>
    <t xml:space="preserve">Current total annual SO2 emissions from computers </t>
  </si>
  <si>
    <t>(A3*A)</t>
  </si>
  <si>
    <t>((B3*B)+(A3*(A-B))</t>
  </si>
  <si>
    <t>(B3*A)</t>
  </si>
  <si>
    <t xml:space="preserve">Current total annual Nox emissions from computers </t>
  </si>
  <si>
    <t>(A4*A)</t>
  </si>
  <si>
    <t>((B4*B)+(A4*(A-B))</t>
  </si>
  <si>
    <t>(B4*A)</t>
  </si>
  <si>
    <t>How many hours a week will your employees work at home/on the road per laptop?</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</si>
  <si>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</si>
  <si>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</si>
  <si>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</si>
  <si>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</si>
  <si>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</si>
  <si>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</si>
  <si>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</si>
  <si>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</si>
  <si>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can simultaneously benefit from the energy savings.</t>
  </si>
  <si>
    <t>Cash flows / IRR / Carbon Savings</t>
  </si>
  <si>
    <t>*moderate usage</t>
  </si>
  <si>
    <t>Commercial rate from Kingston hydro</t>
  </si>
  <si>
    <t xml:space="preserve">Nox Emissions </t>
  </si>
  <si>
    <t>date modified: December 2006</t>
  </si>
  <si>
    <t>current as of: February 16th 2010</t>
  </si>
  <si>
    <t>date accessed: February 18th, 2010</t>
  </si>
  <si>
    <t>in case 3 when you are not already planning on purchasing new computers.</t>
  </si>
  <si>
    <t>Welcome to Your ECM Calculator</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</si>
  <si>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</si>
  <si>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</si>
  <si>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</si>
  <si>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</si>
  <si>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</si>
  <si>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</si>
  <si>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</si>
  <si>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</si>
  <si>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</si>
  <si>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</si>
  <si>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</si>
  <si>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</si>
  <si>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</si>
  <si>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</si>
  <si>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</si>
  <si>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Start your analysis by proceeding to the Instructions.</t>
  </si>
  <si>
    <t>Energy Efficient Laptops</t>
  </si>
  <si>
    <t>ECM010a - Energy efficient laptops</t>
  </si>
  <si>
    <t>If your company is already planning on replacing your current computers it is economical and environmentally friendly to replace them with slightly more expensive, energy efficient laptops instead.</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</si>
  <si>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</si>
  <si>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**Depending on the usage patterns, the battery may have to be replaced, this cost was not taken into account in this ECM. For tips on increasing your battery life, contact your laptop's manufacturer.</t>
  </si>
  <si>
    <t>To conduct an analysis unique to your organization, continue to the Inputs page:</t>
  </si>
  <si>
    <t>Inputs</t>
  </si>
  <si>
    <t>To review the assumptions this calculator is built on, continue to the Assumptions &amp; References page:</t>
  </si>
  <si>
    <t>Assumptions &amp; References</t>
  </si>
  <si>
    <t>Please review disclaimer on the Home tab</t>
  </si>
  <si>
    <t>Assumptions &amp; Sources</t>
  </si>
  <si>
    <t>Laptop picture from:</t>
  </si>
  <si>
    <t>Assump2</t>
  </si>
  <si>
    <t>Assump3</t>
  </si>
  <si>
    <t>Hourly wage of IT personnel completing re-image</t>
  </si>
  <si>
    <t>Assump5</t>
  </si>
  <si>
    <t>Assump7</t>
  </si>
  <si>
    <t>Assump6</t>
  </si>
  <si>
    <t>This number should be a conservative estimate of how frequently your employees may use their laptop for work-related activity outside of their normal work week. It should be an average value that takes into account travelling for conferences, etc.</t>
  </si>
  <si>
    <t>Assump14</t>
  </si>
  <si>
    <t>Please review disclaimer on the Home tab.</t>
  </si>
  <si>
    <t xml:space="preserve">This template last modified on: </t>
  </si>
  <si>
    <t>Select the situation best describing your organization from the drop down menu at right:</t>
  </si>
  <si>
    <t>Case 1</t>
  </si>
  <si>
    <t>Case 2</t>
  </si>
  <si>
    <t>Carbon dioxide savings (kg)</t>
  </si>
  <si>
    <t>Internal rate of return (IRR)</t>
  </si>
  <si>
    <t>Calculated over three (3) year period:</t>
  </si>
  <si>
    <t>Calculated over five (5) year period:</t>
  </si>
  <si>
    <t>SO2 savings (kg)</t>
  </si>
  <si>
    <t>NOx savings (kg)</t>
  </si>
  <si>
    <t>Hours per day computers are powered "on"</t>
  </si>
  <si>
    <t xml:space="preserve">Days per week computer is powered "on" </t>
  </si>
  <si>
    <t xml:space="preserve">Hours powered "on" per week </t>
  </si>
  <si>
    <t>Hours per day in "sleep" mode</t>
  </si>
  <si>
    <t>Hours per week in "sleep" mode</t>
  </si>
  <si>
    <t>Working weeks per year</t>
  </si>
  <si>
    <t>Hours powered "on" per year</t>
  </si>
  <si>
    <t>Hours in "sleep" mode per year</t>
  </si>
  <si>
    <t>Power used when powered "on"</t>
  </si>
  <si>
    <t>Power used when in "sleep" mode</t>
  </si>
  <si>
    <t>Assump8</t>
  </si>
  <si>
    <t xml:space="preserve">Replacement cost of current computer model </t>
  </si>
  <si>
    <t>Total replacement cost of all computers with same (current) model</t>
  </si>
  <si>
    <t>/computer</t>
  </si>
  <si>
    <r>
      <t xml:space="preserve">Total annual power used by </t>
    </r>
    <r>
      <rPr>
        <u val="single"/>
        <sz val="11"/>
        <color indexed="8"/>
        <rFont val="Calibri"/>
        <family val="2"/>
      </rPr>
      <t xml:space="preserve">one (1) </t>
    </r>
    <r>
      <rPr>
        <sz val="11"/>
        <color theme="1"/>
        <rFont val="Calibri"/>
        <family val="2"/>
      </rPr>
      <t>current computers</t>
    </r>
  </si>
  <si>
    <t>kWh/year/computer</t>
  </si>
  <si>
    <t>/year/computer</t>
  </si>
  <si>
    <t>Total initial cost of green alternative (i.e. total hardware costs)</t>
  </si>
  <si>
    <t>Assump10</t>
  </si>
  <si>
    <t>Annual carbon emissions per current computer from electicity consumption</t>
  </si>
  <si>
    <t>Annual carbon emissions per green alternative computer from electricity consumption</t>
  </si>
  <si>
    <t>Assump12</t>
  </si>
  <si>
    <t>Assump13</t>
  </si>
  <si>
    <t>Assump11</t>
  </si>
  <si>
    <t>Annual SO2 emissions per current computer from electricity consumption</t>
  </si>
  <si>
    <t>Annual SO2 emissions per green alternative computer from electricty consumption</t>
  </si>
  <si>
    <t>Annual NOx emissions per current computer from electricity consumption</t>
  </si>
  <si>
    <t>Annual NOx emissions per green alternative computer from electricity consumption</t>
  </si>
  <si>
    <t xml:space="preserve">Time required to re-image one computer </t>
  </si>
  <si>
    <t>Hourly cost of IT professional</t>
  </si>
  <si>
    <t>/hr</t>
  </si>
  <si>
    <t>How much does one of your current PC's cost to replace?</t>
  </si>
  <si>
    <t>Total annual net cash flow</t>
  </si>
  <si>
    <t>Cumulative net cash flow</t>
  </si>
  <si>
    <t>Internal rate of return (IRR) is calculated on both a 3-year term and a 5-year term. Financial decisions are commonly based on a 5-year outlook, while computer hardware/docking stations will be warrantied for an estimated 3-year period (although this will differ by manufacturer)</t>
  </si>
  <si>
    <t>(A5*B5*B)</t>
  </si>
  <si>
    <t>(A5*B5*A)</t>
  </si>
  <si>
    <t>Assump16</t>
  </si>
  <si>
    <t>Total number of computers used by your organization</t>
  </si>
  <si>
    <t>Number of computers under consideration for replacement</t>
  </si>
  <si>
    <t>-- Your organization is replacing current computers, regardless of energy savings</t>
  </si>
  <si>
    <t>-- Your organization is only considering replacing current computers if the energy savings is financially attractive</t>
  </si>
  <si>
    <t>The calculation is carried out nearly identically for both options. When your organization is prepared to replace their current computers with the green alternative, only the incremental cost of the green alternative is considered. When your organization is not prepared to replace current computers, the full cost of the alternative must be accounted for.</t>
  </si>
  <si>
    <t>Assump17</t>
  </si>
  <si>
    <t>The default number of docking stations is equal to the number of laptops being purchased. If employees, or the organization, do not want to purchase docking stations then this number can be adjsted accordingly.</t>
  </si>
  <si>
    <r>
      <t xml:space="preserve">Total annual power used by </t>
    </r>
    <r>
      <rPr>
        <u val="single"/>
        <sz val="11"/>
        <color indexed="8"/>
        <rFont val="Calibri"/>
        <family val="2"/>
      </rPr>
      <t>one (1)</t>
    </r>
    <r>
      <rPr>
        <sz val="11"/>
        <color theme="1"/>
        <rFont val="Calibri"/>
        <family val="2"/>
      </rPr>
      <t xml:space="preserve"> green alternative computer</t>
    </r>
  </si>
  <si>
    <t>kg/year</t>
  </si>
  <si>
    <t>Financial summary:</t>
  </si>
  <si>
    <t>Risk free rate of return, as provided by the Canadian government in the form of a Treasury Bond ("T-Bond")</t>
  </si>
  <si>
    <t>1-Year</t>
  </si>
  <si>
    <t>2-Year</t>
  </si>
  <si>
    <t>3-Year</t>
  </si>
  <si>
    <t>4-Year</t>
  </si>
  <si>
    <t>5-Year</t>
  </si>
  <si>
    <t>Risk-free rate of return (RFR)</t>
  </si>
  <si>
    <t>Discounted annual net cash flow</t>
  </si>
  <si>
    <t>Discounted cumulative net cash flow</t>
  </si>
  <si>
    <t>Net present value (NPV)</t>
  </si>
  <si>
    <t>Payback period (years)</t>
  </si>
  <si>
    <t>Current annual SO2 emissions related to electricity generation</t>
  </si>
  <si>
    <t>Current annual Nox emissions related to electricity generation</t>
  </si>
  <si>
    <t>Current annual carbon dioxide emissions related to electricty generation</t>
  </si>
  <si>
    <t>Please note that if you include productivity savings the investment changes significantly.  Please be accurate as this changes IRR drastically.</t>
  </si>
  <si>
    <t>Example</t>
  </si>
  <si>
    <t>- By replacing 10 computers with energy efficient laptops and docking stations instead of your current model PC, your company can save $125.72 on electricity in the first year</t>
  </si>
  <si>
    <t>Results</t>
  </si>
  <si>
    <t>Assump18</t>
  </si>
  <si>
    <t>How many hours a week will your employees work outside the office per laptop?</t>
  </si>
  <si>
    <t>What is the value of additional work done outside the office on a laptop?</t>
  </si>
  <si>
    <t>Value of work done outside office</t>
  </si>
  <si>
    <t xml:space="preserve">Hours of work done outside office per computer per week </t>
  </si>
  <si>
    <t xml:space="preserve">Hours of work done outside office per computer per year </t>
  </si>
  <si>
    <t>The inherent mobility of a laptop computer will allow employees to work when and where it was not previously possible or feasible, representing added value to your company.</t>
  </si>
  <si>
    <r>
      <t xml:space="preserve">To find the exact value use Kill-a-Watt Meter, or contact your computer manufacturer. Then enter the values for your particular model below. </t>
    </r>
    <r>
      <rPr>
        <sz val="11"/>
        <color theme="1"/>
        <rFont val="Calibri"/>
        <family val="2"/>
      </rPr>
      <t>If this information is not available, it is recommended that you use the provided values which are device-averages.</t>
    </r>
  </si>
  <si>
    <t>Including Productivity Increase</t>
  </si>
  <si>
    <t>Not Including Productivity Increase</t>
  </si>
  <si>
    <t>Not including productivity increase</t>
  </si>
  <si>
    <t>Including productivity increase</t>
  </si>
  <si>
    <t>Replacing your current desktop configuration with a laptop and docking station can save a great deal of money and electricity, as well as increasing productivity due to the inherent mobility in laptops. In general, desktop computers use much more energy than notebooks or netbooks. Even an Energy Star desktop can use up to 160 kWh of power in one year, while the average Energy Star notebook uses on 37 kWh. Many offices may be wary of switching to laptops simply because they are used to having a desktop with a big screen and external hardware (monitor, keyboard, mouse, etc.). This obstacle is overcome by using a laptop docking station. The monitor, keyboard, mouse, printer, etc. that are connected to a desktop computer can all be connected to a docking station. The laptop can be easily connected or disconnected from the docking station which means there will be no change in how employees operate their workstations, other than a significant reduction in electricity. Laptops also carry the added benefit of allowing employees to take work home or on the road which increases productivity, adding value to the company.</t>
  </si>
  <si>
    <t>?</t>
  </si>
  <si>
    <t>- Accompanying this decrease in electricity costs, the inherent mobility of a laptop will allow employees to work remotely and remotely, leading to an estimated increase in annual revenue of $62,500 annually for the company.</t>
  </si>
  <si>
    <r>
      <t xml:space="preserve">With this input, you can help estimate this added value for your company which will be taken into account during the economic considerations portion of this calculator. It is recommended that you enter conservative values that you are confident in as this input can severely affect the outcome of this analysis since it is viewed as a cash flow into your company. </t>
    </r>
    <r>
      <rPr>
        <b/>
        <sz val="11"/>
        <color indexed="8"/>
        <rFont val="Calibri"/>
        <family val="2"/>
      </rPr>
      <t>This input is realistic to include in this calculation as it is value your company will realize, however the calculation is highly sensitive to this input so caution is encouraged.</t>
    </r>
  </si>
  <si>
    <t>http://www.medimanage.com/Images/docking%20staion.jpg</t>
  </si>
  <si>
    <t xml:space="preserve">The risk free rates are based on the 1-year Canadian treasury bill rate http://www.bank-banque-canada.ca/en/rates/tbill.html and the 2, 3 and 5 year treasury bond rates </t>
  </si>
  <si>
    <t>http://www.bank-banque-canada.ca/en/rates/bonds.html.  these values were last accessed May 28,2010.  The 4-year rate is a linear extrapolation between the posted 3 and 5 year treasury bond rate.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</si>
</sst>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d\,\ yyyy"/>
    <numFmt numFmtId="174" formatCode="[$-409]h:mm:ss\ AM/PM"/>
    <numFmt numFmtId="175" formatCode="&quot;$&quot;#,##0.00"/>
    <numFmt numFmtId="176" formatCode="&quot;$&quot;#,##0.0"/>
    <numFmt numFmtId="177" formatCode="&quot;$&quot;#,##0"/>
    <numFmt numFmtId="178" formatCode="0.00000"/>
    <numFmt numFmtId="179" formatCode="0.0000"/>
    <numFmt numFmtId="180" formatCode="0.000"/>
    <numFmt numFmtId="181" formatCode="0.000000"/>
    <numFmt numFmtId="182" formatCode="0.0%"/>
  </numFmts>
  <fonts count="68">
    <font>
      <sz val="11"/>
      <color theme="1"/>
      <name val="Calibri"/>
      <family val="2"/>
    </font>
    <font>
      <sz val="11"/>
      <color indexed="8"/>
      <name val="Calibri"/>
      <family val="2"/>
    </font>
    <font>
      <b/>
      <sz val="11"/>
      <color indexed="8"/>
      <name val="Calibri"/>
      <family val="2"/>
    </font>
    <font>
      <sz val="11"/>
      <name val="Calibri"/>
      <family val="2"/>
    </font>
    <font>
      <sz val="10"/>
      <color indexed="8"/>
      <name val="Times New Roman"/>
      <family val="1"/>
    </font>
    <font>
      <i/>
      <sz val="11"/>
      <name val="Calibri"/>
      <family val="2"/>
    </font>
    <font>
      <i/>
      <sz val="11"/>
      <color indexed="8"/>
      <name val="Calibri"/>
      <family val="2"/>
    </font>
    <font>
      <i/>
      <sz val="12"/>
      <color indexed="8"/>
      <name val="Calibri"/>
      <family val="2"/>
    </font>
    <font>
      <i/>
      <sz val="10"/>
      <color indexed="8"/>
      <name val="Calibri"/>
      <family val="2"/>
    </font>
    <font>
      <u val="single"/>
      <sz val="11"/>
      <color indexed="8"/>
      <name val="Calibri"/>
      <family val="2"/>
    </font>
    <font>
      <sz val="10"/>
      <color indexed="8"/>
      <name val="Calibri"/>
      <family val="2"/>
    </font>
    <font>
      <sz val="8.4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color indexed="8"/>
      <name val="Calibri"/>
      <family val="2"/>
    </font>
    <font>
      <b/>
      <sz val="14"/>
      <color indexed="8"/>
      <name val="Calibri"/>
      <family val="2"/>
    </font>
    <font>
      <sz val="14"/>
      <color indexed="8"/>
      <name val="Calibri"/>
      <family val="2"/>
    </font>
    <font>
      <i/>
      <sz val="10"/>
      <color indexed="8"/>
      <name val="Times New Roman"/>
      <family val="1"/>
    </font>
    <font>
      <sz val="16"/>
      <color indexed="8"/>
      <name val="Calibri"/>
      <family val="2"/>
    </font>
    <font>
      <b/>
      <sz val="16"/>
      <color indexed="8"/>
      <name val="Calibri"/>
      <family val="2"/>
    </font>
    <font>
      <b/>
      <sz val="11"/>
      <name val="Calibri"/>
      <family val="2"/>
    </font>
    <font>
      <b/>
      <sz val="20"/>
      <name val="Calibri"/>
      <family val="2"/>
    </font>
    <font>
      <b/>
      <sz val="18"/>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8"/>
      <color theme="1"/>
      <name val="Calibri"/>
      <family val="2"/>
    </font>
    <font>
      <b/>
      <sz val="14"/>
      <color theme="1"/>
      <name val="Calibri"/>
      <family val="2"/>
    </font>
    <font>
      <sz val="14"/>
      <color theme="1"/>
      <name val="Calibri"/>
      <family val="2"/>
    </font>
    <font>
      <i/>
      <sz val="10"/>
      <color theme="1"/>
      <name val="Times New Roman"/>
      <family val="1"/>
    </font>
    <font>
      <sz val="16"/>
      <color theme="1"/>
      <name val="Calibri"/>
      <family val="2"/>
    </font>
    <font>
      <b/>
      <sz val="16"/>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style="thin"/>
      <top style="thin"/>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top style="thin"/>
      <bottom>
        <color indexed="63"/>
      </bottom>
    </border>
    <border>
      <left/>
      <right style="thin"/>
      <top style="thin"/>
      <bottom style="medium"/>
    </border>
    <border>
      <left style="medium"/>
      <right style="thin"/>
      <top style="thin"/>
      <bottom style="thin"/>
    </border>
    <border>
      <left/>
      <right style="thin"/>
      <top style="medium"/>
      <bottom style="thin"/>
    </border>
    <border>
      <left style="medium"/>
      <right style="medium"/>
      <top style="medium"/>
      <bottom style="medium"/>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style="thin"/>
      <right/>
      <top style="medium"/>
      <bottom style="thin"/>
    </border>
    <border>
      <left/>
      <right/>
      <top style="thin"/>
      <bottom style="thin"/>
    </border>
    <border>
      <left style="medium"/>
      <right style="medium"/>
      <top style="thin"/>
      <bottom>
        <color indexed="63"/>
      </bottom>
    </border>
    <border>
      <left/>
      <right/>
      <top style="thin"/>
      <bottom/>
    </border>
    <border>
      <left style="thin"/>
      <right/>
      <top style="thin"/>
      <bottom/>
    </border>
    <border>
      <left>
        <color indexed="63"/>
      </left>
      <right style="thin"/>
      <top style="thin"/>
      <bottom/>
    </border>
    <border>
      <left style="thin"/>
      <right style="medium"/>
      <top style="thin"/>
      <bottom>
        <color indexed="63"/>
      </bottom>
    </border>
    <border>
      <left/>
      <right/>
      <top/>
      <bottom style="thin"/>
    </border>
    <border>
      <left style="thin"/>
      <right/>
      <top/>
      <bottom style="thin"/>
    </border>
    <border>
      <left/>
      <right style="thin"/>
      <top/>
      <bottom style="thin"/>
    </border>
    <border>
      <left style="thin"/>
      <right style="medium"/>
      <top/>
      <bottom style="thin"/>
    </border>
    <border>
      <left style="thin"/>
      <right style="thin"/>
      <top/>
      <bottom style="thin"/>
    </border>
    <border>
      <left style="thin"/>
      <right style="thin"/>
      <top style="thin"/>
      <bottom>
        <color indexed="63"/>
      </bottom>
    </border>
    <border>
      <left>
        <color indexed="63"/>
      </left>
      <right>
        <color indexed="63"/>
      </right>
      <top style="thin"/>
      <bottom style="medium"/>
    </border>
    <border>
      <left style="thin"/>
      <right/>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thin"/>
      <bottom style="thin"/>
    </border>
    <border>
      <left style="thin"/>
      <right style="thin"/>
      <top style="medium"/>
      <bottom style="thin"/>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thin"/>
      <right style="medium"/>
      <top>
        <color indexed="63"/>
      </top>
      <bottom>
        <color indexed="63"/>
      </bottom>
    </border>
    <border>
      <left style="medium"/>
      <right/>
      <top style="thin"/>
      <bottom style="medium"/>
    </border>
    <border>
      <left style="thin"/>
      <right style="thin"/>
      <top style="thin"/>
      <bottom style="medium"/>
    </border>
    <border>
      <left/>
      <right style="medium"/>
      <top style="thin"/>
      <bottom/>
    </border>
    <border>
      <left/>
      <right style="medium"/>
      <top/>
      <bottom style="thin"/>
    </border>
    <border>
      <left style="thin"/>
      <right/>
      <top/>
      <bottom/>
    </border>
    <border>
      <left style="medium"/>
      <right/>
      <top/>
      <bottom style="thin"/>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right style="medium"/>
      <top style="thin"/>
      <bottom style="medium"/>
    </border>
    <border>
      <left/>
      <right style="thin"/>
      <top/>
      <bottom>
        <color indexed="63"/>
      </bottom>
    </border>
    <border>
      <left/>
      <right style="thin"/>
      <top/>
      <bottom style="medium"/>
    </border>
    <border>
      <left style="thin"/>
      <right/>
      <top style="medium"/>
      <bottom/>
    </border>
    <border>
      <left/>
      <right style="medium"/>
      <top style="medium"/>
      <bottom style="thin"/>
    </border>
    <border>
      <left style="thin"/>
      <right/>
      <top/>
      <bottom style="medium"/>
    </border>
    <border>
      <left style="medium"/>
      <right style="thin"/>
      <top style="thin"/>
      <bottom/>
    </border>
    <border>
      <left style="medium"/>
      <right>
        <color indexed="63"/>
      </right>
      <top style="medium"/>
      <bottom style="thin"/>
    </border>
    <border>
      <left style="thin"/>
      <right style="medium"/>
      <top>
        <color indexed="63"/>
      </top>
      <bottom style="medium"/>
    </border>
    <border>
      <left style="medium"/>
      <right/>
      <top style="thin"/>
      <bottom style="double"/>
    </border>
    <border>
      <left/>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medium"/>
      <right style="thin"/>
      <top>
        <color indexed="63"/>
      </top>
      <bottom style="medium"/>
    </border>
    <border>
      <left style="medium"/>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36">
    <xf numFmtId="0" fontId="0" fillId="0" borderId="0" xfId="0" applyAlignment="1">
      <alignment/>
    </xf>
    <xf numFmtId="0" fontId="0" fillId="0" borderId="10" xfId="68" applyBorder="1" applyProtection="1">
      <alignment/>
      <protection/>
    </xf>
    <xf numFmtId="0" fontId="0" fillId="0" borderId="11" xfId="68" applyBorder="1" applyProtection="1">
      <alignment/>
      <protection/>
    </xf>
    <xf numFmtId="0" fontId="0" fillId="0" borderId="12" xfId="68" applyBorder="1" applyProtection="1">
      <alignment/>
      <protection/>
    </xf>
    <xf numFmtId="0" fontId="0" fillId="0" borderId="13" xfId="68" applyBorder="1" applyProtection="1">
      <alignment/>
      <protection/>
    </xf>
    <xf numFmtId="0" fontId="0" fillId="0" borderId="14" xfId="68" applyBorder="1" applyProtection="1">
      <alignment/>
      <protection/>
    </xf>
    <xf numFmtId="0" fontId="0" fillId="0" borderId="0" xfId="68" applyBorder="1" applyAlignment="1" applyProtection="1">
      <alignment/>
      <protection/>
    </xf>
    <xf numFmtId="0" fontId="0" fillId="0" borderId="13" xfId="68" applyFill="1" applyBorder="1" applyProtection="1">
      <alignment/>
      <protection/>
    </xf>
    <xf numFmtId="0" fontId="0" fillId="0" borderId="14" xfId="68" applyFill="1" applyBorder="1" applyProtection="1">
      <alignment/>
      <protection/>
    </xf>
    <xf numFmtId="0" fontId="0" fillId="0" borderId="0" xfId="68" applyFill="1" applyBorder="1" applyProtection="1">
      <alignment/>
      <protection/>
    </xf>
    <xf numFmtId="0" fontId="60" fillId="0" borderId="0" xfId="68" applyFont="1" applyFill="1" applyBorder="1" applyAlignment="1" applyProtection="1">
      <alignment horizontal="right"/>
      <protection/>
    </xf>
    <xf numFmtId="14" fontId="60" fillId="0" borderId="0" xfId="68" applyNumberFormat="1" applyFont="1" applyFill="1" applyBorder="1" applyAlignment="1" applyProtection="1">
      <alignment horizontal="left"/>
      <protection/>
    </xf>
    <xf numFmtId="0" fontId="60" fillId="0" borderId="0" xfId="68" applyFont="1" applyFill="1" applyBorder="1" applyAlignment="1" applyProtection="1">
      <alignment horizontal="left"/>
      <protection/>
    </xf>
    <xf numFmtId="0" fontId="0" fillId="0" borderId="0" xfId="68" applyProtection="1">
      <alignment/>
      <protection/>
    </xf>
    <xf numFmtId="0" fontId="52" fillId="0" borderId="0" xfId="64" applyFill="1" applyBorder="1" applyAlignment="1" applyProtection="1">
      <alignment/>
      <protection/>
    </xf>
    <xf numFmtId="0" fontId="0" fillId="33" borderId="13" xfId="68" applyFill="1" applyBorder="1" applyProtection="1">
      <alignment/>
      <protection/>
    </xf>
    <xf numFmtId="0" fontId="0" fillId="0" borderId="15" xfId="68" applyFill="1" applyBorder="1" applyProtection="1">
      <alignment/>
      <protection/>
    </xf>
    <xf numFmtId="0" fontId="0" fillId="0" borderId="16" xfId="68" applyFill="1" applyBorder="1" applyProtection="1">
      <alignment/>
      <protection/>
    </xf>
    <xf numFmtId="0" fontId="0" fillId="33" borderId="16" xfId="68" applyFill="1" applyBorder="1" applyProtection="1">
      <alignment/>
      <protection/>
    </xf>
    <xf numFmtId="0" fontId="0" fillId="33" borderId="17" xfId="68" applyFill="1" applyBorder="1" applyProtection="1">
      <alignment/>
      <protection/>
    </xf>
    <xf numFmtId="0" fontId="51" fillId="0" borderId="0" xfId="63" applyFill="1" applyBorder="1" applyAlignment="1" applyProtection="1">
      <alignment/>
      <protection/>
    </xf>
    <xf numFmtId="0" fontId="51" fillId="0" borderId="18" xfId="63" applyFill="1" applyBorder="1" applyAlignment="1" applyProtection="1">
      <alignment/>
      <protection/>
    </xf>
    <xf numFmtId="0" fontId="3" fillId="0" borderId="18" xfId="63" applyFont="1" applyFill="1" applyBorder="1" applyAlignment="1" applyProtection="1">
      <alignment/>
      <protection/>
    </xf>
    <xf numFmtId="0" fontId="3" fillId="0" borderId="0" xfId="63" applyFont="1" applyFill="1" applyBorder="1" applyAlignment="1" applyProtection="1">
      <alignment/>
      <protection/>
    </xf>
    <xf numFmtId="0" fontId="51" fillId="0" borderId="11" xfId="63" applyFill="1" applyBorder="1" applyAlignment="1" applyProtection="1">
      <alignment/>
      <protection/>
    </xf>
    <xf numFmtId="0" fontId="51" fillId="0" borderId="12" xfId="63" applyFill="1" applyBorder="1" applyAlignment="1" applyProtection="1">
      <alignment/>
      <protection/>
    </xf>
    <xf numFmtId="0" fontId="3" fillId="0" borderId="19" xfId="63" applyFont="1" applyFill="1" applyBorder="1" applyAlignment="1" applyProtection="1">
      <alignment horizontal="left" vertical="center"/>
      <protection/>
    </xf>
    <xf numFmtId="0" fontId="51" fillId="0" borderId="0" xfId="63"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51" fillId="0" borderId="0" xfId="63" applyFill="1" applyBorder="1" applyAlignment="1" applyProtection="1">
      <alignment horizontal="left" vertical="center"/>
      <protection/>
    </xf>
    <xf numFmtId="0" fontId="3" fillId="0" borderId="20" xfId="63" applyFont="1" applyFill="1" applyBorder="1" applyAlignment="1" applyProtection="1">
      <alignment vertical="center"/>
      <protection/>
    </xf>
    <xf numFmtId="0" fontId="51" fillId="0" borderId="21" xfId="63" applyFill="1" applyBorder="1" applyAlignment="1" applyProtection="1">
      <alignment horizontal="center" vertical="center"/>
      <protection/>
    </xf>
    <xf numFmtId="0" fontId="51" fillId="0" borderId="22" xfId="63" applyFill="1" applyBorder="1" applyAlignment="1" applyProtection="1">
      <alignment horizontal="center" vertical="center"/>
      <protection/>
    </xf>
    <xf numFmtId="0" fontId="51" fillId="0" borderId="23" xfId="63" applyFill="1" applyBorder="1" applyAlignment="1" applyProtection="1">
      <alignment horizontal="center" vertical="center"/>
      <protection/>
    </xf>
    <xf numFmtId="0" fontId="3" fillId="0" borderId="18" xfId="63" applyFont="1" applyFill="1" applyBorder="1" applyAlignment="1" applyProtection="1">
      <alignment horizontal="left" vertical="center" wrapText="1"/>
      <protection/>
    </xf>
    <xf numFmtId="0" fontId="51" fillId="0" borderId="24" xfId="63"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175" fontId="0" fillId="19" borderId="26" xfId="0" applyNumberFormat="1" applyFill="1" applyBorder="1" applyAlignment="1" applyProtection="1">
      <alignment horizontal="center" vertical="center"/>
      <protection locked="0"/>
    </xf>
    <xf numFmtId="0" fontId="0" fillId="19" borderId="20" xfId="0" applyFill="1" applyBorder="1" applyAlignment="1" applyProtection="1">
      <alignment horizontal="center" vertical="center"/>
      <protection locked="0"/>
    </xf>
    <xf numFmtId="0" fontId="0" fillId="19" borderId="27" xfId="68" applyFill="1" applyBorder="1" applyAlignment="1" applyProtection="1">
      <alignment horizontal="center" vertical="center"/>
      <protection locked="0"/>
    </xf>
    <xf numFmtId="175" fontId="3" fillId="19" borderId="20" xfId="68" applyNumberFormat="1" applyFont="1" applyFill="1" applyBorder="1" applyAlignment="1" applyProtection="1">
      <alignment horizontal="center" vertical="center"/>
      <protection locked="0"/>
    </xf>
    <xf numFmtId="175" fontId="0" fillId="19" borderId="20" xfId="0" applyNumberForma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lef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14" fontId="0" fillId="0" borderId="20" xfId="0" applyNumberForma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protection/>
    </xf>
    <xf numFmtId="0" fontId="58" fillId="0" borderId="28"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3" fillId="0" borderId="30" xfId="68" applyFont="1" applyFill="1" applyBorder="1" applyAlignment="1" applyProtection="1">
      <alignment horizontal="left" vertical="center"/>
      <protection/>
    </xf>
    <xf numFmtId="0" fontId="0" fillId="0" borderId="0" xfId="0" applyAlignment="1" applyProtection="1">
      <alignment/>
      <protection/>
    </xf>
    <xf numFmtId="0" fontId="0" fillId="0" borderId="31" xfId="0" applyFill="1" applyBorder="1" applyAlignment="1" applyProtection="1">
      <alignment horizontal="left" vertical="center"/>
      <protection/>
    </xf>
    <xf numFmtId="0" fontId="0" fillId="0" borderId="23" xfId="0" applyFill="1" applyBorder="1" applyAlignment="1" applyProtection="1">
      <alignment horizontal="center" vertical="center"/>
      <protection/>
    </xf>
    <xf numFmtId="0" fontId="0" fillId="0" borderId="32" xfId="0" applyFill="1" applyBorder="1" applyAlignment="1" applyProtection="1">
      <alignment horizontal="left" vertical="center"/>
      <protection/>
    </xf>
    <xf numFmtId="0" fontId="0" fillId="0" borderId="0" xfId="0" applyFill="1" applyAlignment="1" applyProtection="1">
      <alignment vertical="center"/>
      <protection/>
    </xf>
    <xf numFmtId="0" fontId="0" fillId="0" borderId="14" xfId="0" applyFill="1" applyBorder="1" applyAlignment="1" applyProtection="1">
      <alignment horizontal="left" vertical="center"/>
      <protection/>
    </xf>
    <xf numFmtId="175" fontId="0" fillId="0" borderId="33" xfId="0" applyNumberFormat="1"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31"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0" fontId="0" fillId="0" borderId="0" xfId="0" applyFill="1" applyAlignment="1" applyProtection="1">
      <alignment horizontal="center" vertical="center"/>
      <protection/>
    </xf>
    <xf numFmtId="0" fontId="0" fillId="0" borderId="13" xfId="68" applyFill="1" applyBorder="1" applyAlignment="1" applyProtection="1">
      <alignment vertical="center"/>
      <protection/>
    </xf>
    <xf numFmtId="0" fontId="0" fillId="0" borderId="30" xfId="68"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60" fillId="0" borderId="26" xfId="0" applyFont="1" applyFill="1" applyBorder="1" applyAlignment="1" applyProtection="1">
      <alignment horizontal="right" vertical="center"/>
      <protection/>
    </xf>
    <xf numFmtId="0" fontId="60" fillId="0" borderId="34" xfId="0" applyFont="1" applyFill="1" applyBorder="1" applyAlignment="1" applyProtection="1">
      <alignment horizontal="righ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6" xfId="0" applyFill="1" applyBorder="1" applyAlignment="1" applyProtection="1">
      <alignment horizontal="left" vertical="center"/>
      <protection/>
    </xf>
    <xf numFmtId="0" fontId="0" fillId="0" borderId="17"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left" vertical="center"/>
      <protection/>
    </xf>
    <xf numFmtId="0" fontId="0" fillId="33" borderId="0" xfId="68" applyFill="1" applyProtection="1">
      <alignment/>
      <protection/>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left" vertical="center" wrapText="1"/>
      <protection/>
    </xf>
    <xf numFmtId="0" fontId="0" fillId="0" borderId="0" xfId="0" applyFill="1" applyAlignment="1" applyProtection="1">
      <alignment/>
      <protection/>
    </xf>
    <xf numFmtId="0" fontId="60" fillId="0" borderId="0" xfId="0" applyFont="1" applyFill="1" applyBorder="1" applyAlignment="1" applyProtection="1">
      <alignment horizontal="right" vertical="center"/>
      <protection/>
    </xf>
    <xf numFmtId="0" fontId="60" fillId="0" borderId="0" xfId="0" applyFont="1" applyFill="1" applyBorder="1" applyAlignment="1" applyProtection="1" quotePrefix="1">
      <alignment horizontal="left" vertical="center"/>
      <protection/>
    </xf>
    <xf numFmtId="0" fontId="61" fillId="0" borderId="0" xfId="0" applyFont="1" applyFill="1" applyBorder="1" applyAlignment="1" applyProtection="1">
      <alignment horizontal="center" vertical="center"/>
      <protection/>
    </xf>
    <xf numFmtId="0" fontId="62" fillId="0" borderId="0" xfId="0" applyFont="1" applyFill="1" applyBorder="1" applyAlignment="1" applyProtection="1">
      <alignment/>
      <protection/>
    </xf>
    <xf numFmtId="0" fontId="63" fillId="0" borderId="0" xfId="0" applyFont="1" applyFill="1" applyBorder="1" applyAlignment="1" applyProtection="1">
      <alignment/>
      <protection/>
    </xf>
    <xf numFmtId="0" fontId="8" fillId="0" borderId="0" xfId="0" applyFont="1" applyFill="1" applyBorder="1" applyAlignment="1" applyProtection="1">
      <alignment horizontal="left" vertical="top" wrapText="1"/>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58" fillId="33" borderId="0" xfId="0" applyFont="1" applyFill="1" applyBorder="1" applyAlignment="1" applyProtection="1">
      <alignment/>
      <protection/>
    </xf>
    <xf numFmtId="0" fontId="0" fillId="33" borderId="0" xfId="0" applyFill="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0" xfId="0" applyFont="1" applyFill="1" applyBorder="1" applyAlignment="1" applyProtection="1">
      <alignment/>
      <protection/>
    </xf>
    <xf numFmtId="9" fontId="0" fillId="0" borderId="0" xfId="0" applyNumberFormat="1" applyFill="1" applyBorder="1" applyAlignment="1" applyProtection="1">
      <alignment/>
      <protection/>
    </xf>
    <xf numFmtId="0" fontId="63" fillId="0" borderId="13" xfId="0" applyFont="1" applyFill="1" applyBorder="1" applyAlignment="1" applyProtection="1">
      <alignment/>
      <protection/>
    </xf>
    <xf numFmtId="0" fontId="63" fillId="33" borderId="0" xfId="0" applyFont="1" applyFill="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8" fillId="0" borderId="0" xfId="0" applyFont="1" applyFill="1" applyBorder="1" applyAlignment="1" applyProtection="1">
      <alignment horizontal="lef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horizontal="left" vertical="center"/>
      <protection/>
    </xf>
    <xf numFmtId="0" fontId="0" fillId="0" borderId="27" xfId="0" applyFill="1" applyBorder="1" applyAlignment="1" applyProtection="1">
      <alignment vertical="center"/>
      <protection/>
    </xf>
    <xf numFmtId="0" fontId="0" fillId="0" borderId="30"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19" xfId="0" applyFill="1" applyBorder="1" applyAlignment="1" applyProtection="1">
      <alignment horizontal="left" vertical="center"/>
      <protection/>
    </xf>
    <xf numFmtId="0" fontId="0" fillId="0" borderId="20"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38"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40" xfId="0" applyFill="1" applyBorder="1" applyAlignment="1" applyProtection="1">
      <alignment horizontal="left" vertical="center"/>
      <protection/>
    </xf>
    <xf numFmtId="0" fontId="0" fillId="0" borderId="41" xfId="0" applyFill="1" applyBorder="1" applyAlignment="1" applyProtection="1">
      <alignment vertical="center"/>
      <protection/>
    </xf>
    <xf numFmtId="0" fontId="0" fillId="0" borderId="42" xfId="0" applyFill="1" applyBorder="1" applyAlignment="1" applyProtection="1">
      <alignment vertical="center"/>
      <protection/>
    </xf>
    <xf numFmtId="0" fontId="0" fillId="0" borderId="2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left" vertical="center"/>
      <protection/>
    </xf>
    <xf numFmtId="0" fontId="0" fillId="0" borderId="45" xfId="0" applyFill="1" applyBorder="1" applyAlignment="1" applyProtection="1">
      <alignment vertical="center"/>
      <protection/>
    </xf>
    <xf numFmtId="0" fontId="0" fillId="0" borderId="46" xfId="0" applyFill="1" applyBorder="1" applyAlignment="1" applyProtection="1">
      <alignment vertical="center"/>
      <protection/>
    </xf>
    <xf numFmtId="175" fontId="0" fillId="0" borderId="20" xfId="0" applyNumberFormat="1" applyFill="1" applyBorder="1" applyAlignment="1" applyProtection="1">
      <alignment vertical="center"/>
      <protection/>
    </xf>
    <xf numFmtId="175" fontId="0" fillId="0" borderId="41" xfId="0" applyNumberForma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41" xfId="0" applyFill="1" applyBorder="1" applyAlignment="1" applyProtection="1">
      <alignment horizontal="center" vertical="center"/>
      <protection/>
    </xf>
    <xf numFmtId="0" fontId="0" fillId="0" borderId="48" xfId="0" applyFill="1" applyBorder="1" applyAlignment="1" applyProtection="1">
      <alignment vertical="center"/>
      <protection/>
    </xf>
    <xf numFmtId="172" fontId="0" fillId="0" borderId="47" xfId="0" applyNumberFormat="1" applyFill="1" applyBorder="1" applyAlignment="1" applyProtection="1">
      <alignment vertical="center"/>
      <protection/>
    </xf>
    <xf numFmtId="172" fontId="0" fillId="0" borderId="18" xfId="0" applyNumberFormat="1" applyFill="1" applyBorder="1" applyAlignment="1" applyProtection="1">
      <alignment vertical="center"/>
      <protection/>
    </xf>
    <xf numFmtId="172" fontId="0" fillId="0" borderId="48" xfId="0" applyNumberFormat="1" applyFill="1" applyBorder="1" applyAlignment="1" applyProtection="1">
      <alignment vertical="center"/>
      <protection/>
    </xf>
    <xf numFmtId="2" fontId="0" fillId="0" borderId="47" xfId="0" applyNumberFormat="1" applyFill="1" applyBorder="1" applyAlignment="1" applyProtection="1">
      <alignment vertical="center"/>
      <protection/>
    </xf>
    <xf numFmtId="2" fontId="0" fillId="0" borderId="18" xfId="0" applyNumberFormat="1" applyFill="1" applyBorder="1" applyAlignment="1" applyProtection="1">
      <alignment vertical="center"/>
      <protection/>
    </xf>
    <xf numFmtId="2" fontId="0" fillId="0" borderId="48" xfId="0" applyNumberFormat="1" applyFill="1" applyBorder="1" applyAlignment="1" applyProtection="1">
      <alignment vertical="center"/>
      <protection/>
    </xf>
    <xf numFmtId="0" fontId="0" fillId="0" borderId="49" xfId="0" applyFill="1" applyBorder="1" applyAlignment="1" applyProtection="1">
      <alignment horizontal="center" vertical="center"/>
      <protection/>
    </xf>
    <xf numFmtId="0" fontId="0" fillId="0" borderId="50" xfId="0" applyFill="1" applyBorder="1" applyAlignment="1" applyProtection="1">
      <alignment horizontal="left" vertical="center"/>
      <protection/>
    </xf>
    <xf numFmtId="0" fontId="0" fillId="0" borderId="25" xfId="0" applyFill="1" applyBorder="1" applyAlignment="1" applyProtection="1">
      <alignment vertical="center"/>
      <protection/>
    </xf>
    <xf numFmtId="175" fontId="0" fillId="0" borderId="25" xfId="0" applyNumberFormat="1" applyFill="1" applyBorder="1" applyAlignment="1" applyProtection="1">
      <alignment vertical="center"/>
      <protection/>
    </xf>
    <xf numFmtId="0" fontId="0" fillId="0" borderId="32" xfId="0" applyFill="1" applyBorder="1" applyAlignment="1" applyProtection="1">
      <alignment vertical="center"/>
      <protection/>
    </xf>
    <xf numFmtId="0" fontId="58" fillId="0" borderId="51"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52" xfId="0" applyFill="1" applyBorder="1" applyAlignment="1" applyProtection="1">
      <alignment horizontal="left" vertical="center"/>
      <protection/>
    </xf>
    <xf numFmtId="0" fontId="58" fillId="0" borderId="52" xfId="0" applyFont="1" applyFill="1" applyBorder="1" applyAlignment="1" applyProtection="1">
      <alignment horizontal="center" vertical="center"/>
      <protection/>
    </xf>
    <xf numFmtId="0" fontId="58" fillId="0" borderId="53" xfId="0" applyFont="1" applyFill="1" applyBorder="1" applyAlignment="1" applyProtection="1">
      <alignment horizontal="center" vertical="center"/>
      <protection/>
    </xf>
    <xf numFmtId="0" fontId="58" fillId="0" borderId="53" xfId="0" applyFont="1" applyFill="1" applyBorder="1" applyAlignment="1" applyProtection="1">
      <alignment horizontal="left" vertical="center"/>
      <protection/>
    </xf>
    <xf numFmtId="0" fontId="58" fillId="0" borderId="54" xfId="0" applyFont="1"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175" fontId="0" fillId="0" borderId="56" xfId="0" applyNumberFormat="1" applyFill="1" applyBorder="1" applyAlignment="1" applyProtection="1">
      <alignment vertical="center"/>
      <protection/>
    </xf>
    <xf numFmtId="175" fontId="0" fillId="0" borderId="56" xfId="0" applyNumberFormat="1" applyFill="1" applyBorder="1" applyAlignment="1" applyProtection="1">
      <alignment horizontal="right" vertical="center"/>
      <protection/>
    </xf>
    <xf numFmtId="175" fontId="0" fillId="0" borderId="30" xfId="0" applyNumberFormat="1" applyFill="1" applyBorder="1" applyAlignment="1" applyProtection="1">
      <alignment vertical="center"/>
      <protection/>
    </xf>
    <xf numFmtId="175" fontId="0" fillId="0" borderId="18" xfId="0" applyNumberFormat="1" applyFill="1" applyBorder="1" applyAlignment="1" applyProtection="1">
      <alignment vertical="center"/>
      <protection/>
    </xf>
    <xf numFmtId="175" fontId="0" fillId="0" borderId="18" xfId="0" applyNumberFormat="1" applyFill="1" applyBorder="1" applyAlignment="1" applyProtection="1">
      <alignment horizontal="right" vertical="center"/>
      <protection/>
    </xf>
    <xf numFmtId="175" fontId="0" fillId="0" borderId="31" xfId="0" applyNumberFormat="1" applyFill="1" applyBorder="1" applyAlignment="1" applyProtection="1">
      <alignment vertical="center"/>
      <protection/>
    </xf>
    <xf numFmtId="175" fontId="0" fillId="0" borderId="57" xfId="0" applyNumberFormat="1" applyFill="1" applyBorder="1" applyAlignment="1" applyProtection="1">
      <alignment vertical="center"/>
      <protection/>
    </xf>
    <xf numFmtId="175" fontId="0" fillId="0" borderId="58" xfId="0" applyNumberFormat="1" applyFill="1" applyBorder="1" applyAlignment="1" applyProtection="1">
      <alignment vertical="center"/>
      <protection/>
    </xf>
    <xf numFmtId="175" fontId="0" fillId="0" borderId="47" xfId="0" applyNumberFormat="1" applyFill="1" applyBorder="1" applyAlignment="1" applyProtection="1">
      <alignment vertical="center"/>
      <protection/>
    </xf>
    <xf numFmtId="175" fontId="0" fillId="0" borderId="46" xfId="0" applyNumberFormat="1" applyFill="1" applyBorder="1" applyAlignment="1" applyProtection="1">
      <alignment vertical="center"/>
      <protection/>
    </xf>
    <xf numFmtId="0" fontId="0" fillId="0" borderId="24" xfId="0" applyFill="1" applyBorder="1" applyAlignment="1" applyProtection="1">
      <alignment horizontal="center" vertical="center"/>
      <protection/>
    </xf>
    <xf numFmtId="175" fontId="0" fillId="0" borderId="48" xfId="0" applyNumberFormat="1" applyFill="1" applyBorder="1" applyAlignment="1" applyProtection="1">
      <alignment vertical="center"/>
      <protection/>
    </xf>
    <xf numFmtId="175" fontId="0" fillId="0" borderId="48" xfId="0" applyNumberFormat="1" applyFill="1" applyBorder="1" applyAlignment="1" applyProtection="1">
      <alignment horizontal="right" vertical="center"/>
      <protection/>
    </xf>
    <xf numFmtId="175" fontId="0" fillId="0" borderId="42" xfId="0" applyNumberFormat="1" applyFill="1" applyBorder="1" applyAlignment="1" applyProtection="1">
      <alignment vertical="center"/>
      <protection/>
    </xf>
    <xf numFmtId="10" fontId="0" fillId="0" borderId="18" xfId="0" applyNumberFormat="1" applyFill="1" applyBorder="1" applyAlignment="1" applyProtection="1">
      <alignment vertical="center"/>
      <protection/>
    </xf>
    <xf numFmtId="10" fontId="0" fillId="0" borderId="31" xfId="0" applyNumberFormat="1" applyFill="1" applyBorder="1" applyAlignment="1" applyProtection="1">
      <alignment vertical="center"/>
      <protection/>
    </xf>
    <xf numFmtId="0" fontId="0" fillId="0" borderId="26" xfId="0"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59" xfId="0" applyFont="1" applyFill="1" applyBorder="1" applyAlignment="1" applyProtection="1">
      <alignment horizontal="right" vertical="center"/>
      <protection/>
    </xf>
    <xf numFmtId="0" fontId="0" fillId="0" borderId="60" xfId="0" applyFont="1" applyFill="1" applyBorder="1" applyAlignment="1" applyProtection="1">
      <alignment horizontal="right" vertical="center"/>
      <protection/>
    </xf>
    <xf numFmtId="0" fontId="0" fillId="0" borderId="47" xfId="0" applyNumberFormat="1" applyFill="1" applyBorder="1" applyAlignment="1" applyProtection="1">
      <alignment vertical="center"/>
      <protection/>
    </xf>
    <xf numFmtId="0" fontId="0" fillId="0" borderId="47" xfId="0" applyNumberFormat="1" applyFill="1" applyBorder="1" applyAlignment="1" applyProtection="1">
      <alignment horizontal="right" vertical="center"/>
      <protection/>
    </xf>
    <xf numFmtId="0" fontId="0" fillId="0" borderId="46" xfId="0" applyNumberFormat="1" applyFill="1" applyBorder="1" applyAlignment="1" applyProtection="1">
      <alignment horizontal="right" vertical="center"/>
      <protection/>
    </xf>
    <xf numFmtId="0" fontId="0" fillId="0" borderId="48" xfId="0" applyNumberFormat="1" applyFill="1" applyBorder="1" applyAlignment="1" applyProtection="1">
      <alignment vertical="center"/>
      <protection/>
    </xf>
    <xf numFmtId="0" fontId="0" fillId="0" borderId="42" xfId="0" applyNumberFormat="1" applyFill="1" applyBorder="1" applyAlignment="1" applyProtection="1">
      <alignment vertical="center"/>
      <protection/>
    </xf>
    <xf numFmtId="2" fontId="0" fillId="0" borderId="59" xfId="0" applyNumberFormat="1" applyFont="1" applyFill="1" applyBorder="1" applyAlignment="1" applyProtection="1">
      <alignment horizontal="right" vertical="center"/>
      <protection/>
    </xf>
    <xf numFmtId="2" fontId="0" fillId="0" borderId="60" xfId="0" applyNumberFormat="1" applyFont="1" applyFill="1" applyBorder="1" applyAlignment="1" applyProtection="1">
      <alignment horizontal="right" vertical="center"/>
      <protection/>
    </xf>
    <xf numFmtId="0" fontId="0" fillId="0" borderId="47" xfId="0" applyFont="1" applyFill="1" applyBorder="1" applyAlignment="1" applyProtection="1">
      <alignment horizontal="right" vertical="center"/>
      <protection/>
    </xf>
    <xf numFmtId="2" fontId="0" fillId="0" borderId="47" xfId="0" applyNumberFormat="1" applyFont="1" applyFill="1" applyBorder="1" applyAlignment="1" applyProtection="1">
      <alignment horizontal="right" vertical="center"/>
      <protection/>
    </xf>
    <xf numFmtId="2" fontId="0" fillId="0" borderId="46" xfId="0" applyNumberFormat="1" applyFont="1" applyFill="1" applyBorder="1" applyAlignment="1" applyProtection="1">
      <alignment horizontal="right" vertical="center"/>
      <protection/>
    </xf>
    <xf numFmtId="2" fontId="0" fillId="0" borderId="48" xfId="0" applyNumberFormat="1" applyFill="1" applyBorder="1" applyAlignment="1" applyProtection="1">
      <alignment horizontal="right" vertical="center"/>
      <protection/>
    </xf>
    <xf numFmtId="2" fontId="0" fillId="0" borderId="42" xfId="0" applyNumberForma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2" fontId="0" fillId="0" borderId="59" xfId="0" applyNumberFormat="1" applyFill="1" applyBorder="1" applyAlignment="1" applyProtection="1">
      <alignment horizontal="right" vertical="center"/>
      <protection/>
    </xf>
    <xf numFmtId="2" fontId="0" fillId="0" borderId="60" xfId="0" applyNumberFormat="1" applyFill="1" applyBorder="1" applyAlignment="1" applyProtection="1">
      <alignment horizontal="right" vertical="center"/>
      <protection/>
    </xf>
    <xf numFmtId="2" fontId="0" fillId="0" borderId="47" xfId="0" applyNumberFormat="1" applyFill="1" applyBorder="1" applyAlignment="1" applyProtection="1">
      <alignment horizontal="right" vertical="center"/>
      <protection/>
    </xf>
    <xf numFmtId="2" fontId="0" fillId="0" borderId="46" xfId="0" applyNumberFormat="1" applyFill="1" applyBorder="1" applyAlignment="1" applyProtection="1">
      <alignment horizontal="right" vertical="center"/>
      <protection/>
    </xf>
    <xf numFmtId="0" fontId="0" fillId="0" borderId="61" xfId="0" applyFill="1" applyBorder="1" applyAlignment="1" applyProtection="1">
      <alignment horizontal="center" vertical="center"/>
      <protection/>
    </xf>
    <xf numFmtId="0" fontId="0" fillId="0" borderId="62" xfId="0" applyFill="1" applyBorder="1" applyAlignment="1" applyProtection="1">
      <alignment vertical="center"/>
      <protection/>
    </xf>
    <xf numFmtId="2" fontId="0" fillId="0" borderId="62" xfId="0" applyNumberFormat="1" applyFill="1" applyBorder="1" applyAlignment="1" applyProtection="1">
      <alignment horizontal="right" vertical="center"/>
      <protection/>
    </xf>
    <xf numFmtId="2" fontId="0" fillId="0" borderId="32" xfId="0" applyNumberForma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2" fontId="0" fillId="19" borderId="18" xfId="0" applyNumberFormat="1" applyFill="1" applyBorder="1" applyAlignment="1" applyProtection="1">
      <alignment/>
      <protection locked="0"/>
    </xf>
    <xf numFmtId="0" fontId="0" fillId="19" borderId="18" xfId="0" applyFill="1" applyBorder="1" applyAlignment="1" applyProtection="1">
      <alignment/>
      <protection locked="0"/>
    </xf>
    <xf numFmtId="0" fontId="0" fillId="19" borderId="0" xfId="0" applyFill="1" applyBorder="1" applyAlignment="1" applyProtection="1">
      <alignment/>
      <protection locked="0"/>
    </xf>
    <xf numFmtId="10" fontId="3" fillId="19" borderId="18" xfId="63" applyNumberFormat="1" applyFont="1" applyFill="1" applyBorder="1" applyAlignment="1" applyProtection="1">
      <alignment horizontal="left" vertical="center" wrapText="1"/>
      <protection locked="0"/>
    </xf>
    <xf numFmtId="0" fontId="58" fillId="33" borderId="0" xfId="0" applyFont="1" applyFill="1" applyAlignment="1" applyProtection="1">
      <alignment horizontal="center"/>
      <protection/>
    </xf>
    <xf numFmtId="0" fontId="58" fillId="0" borderId="11" xfId="0" applyFont="1" applyFill="1" applyBorder="1" applyAlignment="1" applyProtection="1">
      <alignment horizontal="center"/>
      <protection/>
    </xf>
    <xf numFmtId="14" fontId="0" fillId="0" borderId="20" xfId="0" applyNumberFormat="1" applyFill="1" applyBorder="1" applyAlignment="1" applyProtection="1">
      <alignment horizontal="left"/>
      <protection/>
    </xf>
    <xf numFmtId="0" fontId="58" fillId="0" borderId="0" xfId="0" applyFont="1" applyFill="1" applyBorder="1" applyAlignment="1" applyProtection="1">
      <alignment horizontal="center"/>
      <protection/>
    </xf>
    <xf numFmtId="0" fontId="0" fillId="0" borderId="39" xfId="0" applyFill="1" applyBorder="1" applyAlignment="1" applyProtection="1">
      <alignment/>
      <protection/>
    </xf>
    <xf numFmtId="0" fontId="0" fillId="0" borderId="63" xfId="0" applyFill="1" applyBorder="1" applyAlignment="1" applyProtection="1">
      <alignment/>
      <protection/>
    </xf>
    <xf numFmtId="0" fontId="0" fillId="0" borderId="43" xfId="0" applyFill="1" applyBorder="1" applyAlignment="1" applyProtection="1">
      <alignment/>
      <protection/>
    </xf>
    <xf numFmtId="0" fontId="0" fillId="0" borderId="64" xfId="0" applyFill="1" applyBorder="1" applyAlignment="1" applyProtection="1">
      <alignment/>
      <protection/>
    </xf>
    <xf numFmtId="0" fontId="58" fillId="0" borderId="39" xfId="0" applyFont="1" applyFill="1" applyBorder="1" applyAlignment="1" applyProtection="1">
      <alignment/>
      <protection/>
    </xf>
    <xf numFmtId="0" fontId="58" fillId="0" borderId="18" xfId="0" applyFont="1" applyFill="1" applyBorder="1" applyAlignment="1" applyProtection="1">
      <alignment/>
      <protection/>
    </xf>
    <xf numFmtId="0" fontId="58" fillId="0" borderId="18" xfId="0" applyFont="1" applyFill="1" applyBorder="1" applyAlignment="1" applyProtection="1">
      <alignment horizontal="center" wrapText="1"/>
      <protection/>
    </xf>
    <xf numFmtId="0" fontId="0" fillId="0" borderId="18" xfId="0" applyFont="1" applyFill="1" applyBorder="1" applyAlignment="1" applyProtection="1">
      <alignment/>
      <protection/>
    </xf>
    <xf numFmtId="2" fontId="0" fillId="0" borderId="18" xfId="0" applyNumberFormat="1" applyFill="1" applyBorder="1" applyAlignment="1" applyProtection="1">
      <alignment/>
      <protection/>
    </xf>
    <xf numFmtId="0" fontId="0" fillId="0" borderId="18" xfId="0" applyFill="1" applyBorder="1" applyAlignment="1" applyProtection="1">
      <alignment/>
      <protection/>
    </xf>
    <xf numFmtId="0" fontId="0" fillId="0" borderId="39" xfId="0" applyFill="1" applyBorder="1" applyAlignment="1" applyProtection="1">
      <alignment vertical="center"/>
      <protection/>
    </xf>
    <xf numFmtId="0" fontId="0" fillId="0" borderId="65" xfId="0" applyFill="1" applyBorder="1" applyAlignment="1" applyProtection="1">
      <alignment vertical="center"/>
      <protection/>
    </xf>
    <xf numFmtId="0" fontId="64" fillId="0" borderId="0" xfId="0" applyFont="1" applyFill="1" applyBorder="1" applyAlignment="1" applyProtection="1">
      <alignment/>
      <protection/>
    </xf>
    <xf numFmtId="0" fontId="0" fillId="0" borderId="16" xfId="0" applyFill="1" applyBorder="1" applyAlignment="1" applyProtection="1">
      <alignment horizontal="center" vertical="center"/>
      <protection/>
    </xf>
    <xf numFmtId="0" fontId="58" fillId="0" borderId="16" xfId="0" applyFont="1" applyFill="1" applyBorder="1" applyAlignment="1" applyProtection="1">
      <alignment horizontal="center"/>
      <protection/>
    </xf>
    <xf numFmtId="0" fontId="0" fillId="33" borderId="16" xfId="0" applyFill="1" applyBorder="1" applyAlignment="1" applyProtection="1">
      <alignment/>
      <protection/>
    </xf>
    <xf numFmtId="0" fontId="0" fillId="0" borderId="66" xfId="0" applyFill="1" applyBorder="1" applyAlignment="1" applyProtection="1">
      <alignment horizontal="center" vertical="center"/>
      <protection/>
    </xf>
    <xf numFmtId="0" fontId="58" fillId="8" borderId="19" xfId="0" applyFont="1" applyFill="1" applyBorder="1" applyAlignment="1" applyProtection="1">
      <alignment horizontal="center" vertical="center" wrapText="1"/>
      <protection/>
    </xf>
    <xf numFmtId="9" fontId="58" fillId="8" borderId="26" xfId="0" applyNumberFormat="1" applyFont="1" applyFill="1" applyBorder="1" applyAlignment="1" applyProtection="1">
      <alignment horizontal="right" vertical="center"/>
      <protection/>
    </xf>
    <xf numFmtId="172" fontId="58" fillId="8" borderId="34" xfId="0" applyNumberFormat="1" applyFont="1" applyFill="1" applyBorder="1" applyAlignment="1" applyProtection="1">
      <alignment horizontal="right" vertical="center"/>
      <protection/>
    </xf>
    <xf numFmtId="177" fontId="58" fillId="8" borderId="33" xfId="0" applyNumberFormat="1" applyFont="1" applyFill="1" applyBorder="1" applyAlignment="1" applyProtection="1">
      <alignment horizontal="right" vertical="center"/>
      <protection/>
    </xf>
    <xf numFmtId="175" fontId="0" fillId="0" borderId="62" xfId="0" applyNumberFormat="1" applyFill="1" applyBorder="1" applyAlignment="1" applyProtection="1">
      <alignment vertical="center"/>
      <protection/>
    </xf>
    <xf numFmtId="175" fontId="0" fillId="0" borderId="32" xfId="0" applyNumberFormat="1" applyFill="1" applyBorder="1" applyAlignment="1" applyProtection="1">
      <alignment vertical="center"/>
      <protection/>
    </xf>
    <xf numFmtId="177" fontId="58" fillId="8" borderId="30" xfId="0" applyNumberFormat="1" applyFont="1" applyFill="1" applyBorder="1" applyAlignment="1" applyProtection="1">
      <alignment horizontal="right" vertical="center"/>
      <protection/>
    </xf>
    <xf numFmtId="9" fontId="58" fillId="8" borderId="31" xfId="0" applyNumberFormat="1" applyFont="1" applyFill="1" applyBorder="1" applyAlignment="1" applyProtection="1">
      <alignment horizontal="right" vertical="center"/>
      <protection/>
    </xf>
    <xf numFmtId="172" fontId="58" fillId="8" borderId="32" xfId="0" applyNumberFormat="1" applyFont="1" applyFill="1" applyBorder="1" applyAlignment="1" applyProtection="1">
      <alignment horizontal="right" vertical="center"/>
      <protection/>
    </xf>
    <xf numFmtId="10" fontId="58" fillId="8" borderId="31" xfId="0" applyNumberFormat="1" applyFont="1" applyFill="1" applyBorder="1" applyAlignment="1" applyProtection="1">
      <alignment horizontal="right" vertical="center"/>
      <protection/>
    </xf>
    <xf numFmtId="0" fontId="63" fillId="0" borderId="0" xfId="0" applyFont="1" applyFill="1" applyBorder="1" applyAlignment="1" applyProtection="1">
      <alignment horizontal="center"/>
      <protection/>
    </xf>
    <xf numFmtId="0" fontId="0" fillId="0" borderId="12" xfId="0" applyBorder="1" applyAlignment="1" applyProtection="1">
      <alignment horizontal="left" vertical="center"/>
      <protection/>
    </xf>
    <xf numFmtId="0" fontId="0" fillId="0" borderId="26" xfId="68" applyFill="1" applyBorder="1" applyAlignment="1" applyProtection="1">
      <alignment horizontal="center" vertical="center"/>
      <protection/>
    </xf>
    <xf numFmtId="0" fontId="0" fillId="0" borderId="34" xfId="68" applyFill="1" applyBorder="1" applyAlignment="1" applyProtection="1">
      <alignment horizontal="center" vertical="center"/>
      <protection/>
    </xf>
    <xf numFmtId="0" fontId="0" fillId="19" borderId="33" xfId="68" applyFill="1" applyBorder="1" applyAlignment="1" applyProtection="1">
      <alignment horizontal="center" vertical="center"/>
      <protection hidden="1" locked="0"/>
    </xf>
    <xf numFmtId="0" fontId="0" fillId="19" borderId="67" xfId="0" applyFill="1" applyBorder="1" applyAlignment="1" applyProtection="1">
      <alignment horizontal="center" vertical="center"/>
      <protection locked="0"/>
    </xf>
    <xf numFmtId="0" fontId="0" fillId="19" borderId="26" xfId="0" applyFill="1" applyBorder="1" applyAlignment="1" applyProtection="1">
      <alignment horizontal="center" vertical="center"/>
      <protection locked="0"/>
    </xf>
    <xf numFmtId="175" fontId="0" fillId="19" borderId="34" xfId="0" applyNumberFormat="1" applyFill="1" applyBorder="1" applyAlignment="1" applyProtection="1">
      <alignment horizontal="center" vertical="center"/>
      <protection locked="0"/>
    </xf>
    <xf numFmtId="0" fontId="0" fillId="19" borderId="26" xfId="68" applyFill="1" applyBorder="1" applyAlignment="1" applyProtection="1">
      <alignment horizontal="center" vertical="center"/>
      <protection locked="0"/>
    </xf>
    <xf numFmtId="182" fontId="58" fillId="8" borderId="26" xfId="0" applyNumberFormat="1" applyFont="1" applyFill="1" applyBorder="1" applyAlignment="1" applyProtection="1">
      <alignment horizontal="right" vertical="center"/>
      <protection/>
    </xf>
    <xf numFmtId="0" fontId="51" fillId="0" borderId="0" xfId="63" applyFill="1" applyBorder="1" applyAlignment="1" applyProtection="1">
      <alignment horizontal="left"/>
      <protection/>
    </xf>
    <xf numFmtId="0" fontId="63" fillId="16" borderId="68" xfId="68" applyFont="1" applyFill="1" applyBorder="1" applyAlignment="1" applyProtection="1">
      <alignment horizontal="center" vertical="center"/>
      <protection/>
    </xf>
    <xf numFmtId="0" fontId="63" fillId="16" borderId="69" xfId="68" applyFont="1" applyFill="1" applyBorder="1" applyAlignment="1" applyProtection="1">
      <alignment horizontal="center" vertical="center"/>
      <protection/>
    </xf>
    <xf numFmtId="0" fontId="63" fillId="16" borderId="70" xfId="68" applyFont="1" applyFill="1" applyBorder="1" applyAlignment="1" applyProtection="1">
      <alignment horizontal="center" vertical="center"/>
      <protection/>
    </xf>
    <xf numFmtId="0" fontId="0" fillId="0" borderId="10" xfId="68" applyBorder="1" applyAlignment="1" applyProtection="1">
      <alignment horizontal="left" vertical="center" wrapText="1"/>
      <protection/>
    </xf>
    <xf numFmtId="0" fontId="0" fillId="0" borderId="11" xfId="68" applyBorder="1" applyAlignment="1" applyProtection="1">
      <alignment horizontal="left" vertical="center" wrapText="1"/>
      <protection/>
    </xf>
    <xf numFmtId="0" fontId="0" fillId="0" borderId="12" xfId="68" applyBorder="1" applyAlignment="1" applyProtection="1">
      <alignment horizontal="left" vertical="center" wrapText="1"/>
      <protection/>
    </xf>
    <xf numFmtId="0" fontId="0" fillId="0" borderId="13" xfId="68" applyBorder="1" applyAlignment="1" applyProtection="1">
      <alignment horizontal="left" vertical="center" wrapText="1"/>
      <protection/>
    </xf>
    <xf numFmtId="0" fontId="0" fillId="0" borderId="0" xfId="68" applyBorder="1" applyAlignment="1" applyProtection="1">
      <alignment horizontal="left" vertical="center" wrapText="1"/>
      <protection/>
    </xf>
    <xf numFmtId="0" fontId="0" fillId="0" borderId="14" xfId="68" applyBorder="1" applyAlignment="1" applyProtection="1">
      <alignment horizontal="left" vertical="center" wrapText="1"/>
      <protection/>
    </xf>
    <xf numFmtId="0" fontId="0" fillId="0" borderId="66" xfId="68" applyBorder="1" applyAlignment="1" applyProtection="1">
      <alignment horizontal="left" vertical="center" wrapText="1"/>
      <protection/>
    </xf>
    <xf numFmtId="0" fontId="0" fillId="0" borderId="43" xfId="68" applyBorder="1" applyAlignment="1" applyProtection="1">
      <alignment horizontal="left" vertical="center" wrapText="1"/>
      <protection/>
    </xf>
    <xf numFmtId="0" fontId="0" fillId="0" borderId="64" xfId="68" applyBorder="1" applyAlignment="1" applyProtection="1">
      <alignment horizontal="left" vertical="center" wrapText="1"/>
      <protection/>
    </xf>
    <xf numFmtId="0" fontId="0" fillId="0" borderId="24" xfId="68" applyFill="1" applyBorder="1" applyAlignment="1" applyProtection="1">
      <alignment horizontal="left" vertical="center" wrapText="1"/>
      <protection/>
    </xf>
    <xf numFmtId="0" fontId="0" fillId="0" borderId="39" xfId="68" applyFill="1" applyBorder="1" applyAlignment="1" applyProtection="1">
      <alignment horizontal="left" vertical="center" wrapText="1"/>
      <protection/>
    </xf>
    <xf numFmtId="0" fontId="0" fillId="0" borderId="63" xfId="68" applyFill="1" applyBorder="1" applyAlignment="1" applyProtection="1">
      <alignment horizontal="left" vertical="center" wrapText="1"/>
      <protection/>
    </xf>
    <xf numFmtId="0" fontId="0" fillId="0" borderId="13" xfId="68" applyFill="1" applyBorder="1" applyAlignment="1" applyProtection="1">
      <alignment horizontal="left" vertical="center" wrapText="1"/>
      <protection/>
    </xf>
    <xf numFmtId="0" fontId="0" fillId="0" borderId="0" xfId="68" applyFill="1" applyBorder="1" applyAlignment="1" applyProtection="1">
      <alignment horizontal="left" vertical="center" wrapText="1"/>
      <protection/>
    </xf>
    <xf numFmtId="0" fontId="0" fillId="0" borderId="14" xfId="68" applyFill="1" applyBorder="1" applyAlignment="1" applyProtection="1">
      <alignment horizontal="left" vertical="center" wrapText="1"/>
      <protection/>
    </xf>
    <xf numFmtId="0" fontId="0" fillId="0" borderId="66" xfId="68" applyFill="1" applyBorder="1" applyAlignment="1" applyProtection="1">
      <alignment horizontal="left" vertical="center" wrapText="1"/>
      <protection/>
    </xf>
    <xf numFmtId="0" fontId="0" fillId="0" borderId="43" xfId="68" applyFill="1" applyBorder="1" applyAlignment="1" applyProtection="1">
      <alignment horizontal="left" vertical="center" wrapText="1"/>
      <protection/>
    </xf>
    <xf numFmtId="0" fontId="0" fillId="0" borderId="64" xfId="68" applyFill="1" applyBorder="1" applyAlignment="1" applyProtection="1">
      <alignment horizontal="left" vertical="center" wrapText="1"/>
      <protection/>
    </xf>
    <xf numFmtId="0" fontId="8" fillId="0" borderId="24" xfId="68" applyFont="1" applyFill="1" applyBorder="1" applyAlignment="1" applyProtection="1">
      <alignment horizontal="left" vertical="center" wrapText="1"/>
      <protection/>
    </xf>
    <xf numFmtId="0" fontId="8" fillId="0" borderId="39" xfId="68" applyFont="1" applyFill="1" applyBorder="1" applyAlignment="1" applyProtection="1">
      <alignment horizontal="left" vertical="center" wrapText="1"/>
      <protection/>
    </xf>
    <xf numFmtId="0" fontId="8" fillId="0" borderId="63" xfId="68" applyFont="1" applyFill="1" applyBorder="1" applyAlignment="1" applyProtection="1">
      <alignment horizontal="left" vertical="center" wrapText="1"/>
      <protection/>
    </xf>
    <xf numFmtId="0" fontId="8" fillId="0" borderId="13" xfId="68" applyFont="1" applyFill="1" applyBorder="1" applyAlignment="1" applyProtection="1">
      <alignment horizontal="left" vertical="center" wrapText="1"/>
      <protection/>
    </xf>
    <xf numFmtId="0" fontId="8" fillId="0" borderId="0" xfId="68" applyFont="1" applyFill="1" applyBorder="1" applyAlignment="1" applyProtection="1">
      <alignment horizontal="left" vertical="center" wrapText="1"/>
      <protection/>
    </xf>
    <xf numFmtId="0" fontId="8" fillId="0" borderId="14" xfId="68" applyFont="1" applyFill="1" applyBorder="1" applyAlignment="1" applyProtection="1">
      <alignment horizontal="left" vertical="center" wrapText="1"/>
      <protection/>
    </xf>
    <xf numFmtId="0" fontId="8" fillId="0" borderId="66" xfId="68" applyFont="1" applyFill="1" applyBorder="1" applyAlignment="1" applyProtection="1">
      <alignment horizontal="left" vertical="center" wrapText="1"/>
      <protection/>
    </xf>
    <xf numFmtId="0" fontId="8" fillId="0" borderId="43" xfId="68" applyFont="1" applyFill="1" applyBorder="1" applyAlignment="1" applyProtection="1">
      <alignment horizontal="left" vertical="center" wrapText="1"/>
      <protection/>
    </xf>
    <xf numFmtId="0" fontId="8" fillId="0" borderId="64" xfId="68" applyFont="1" applyFill="1" applyBorder="1" applyAlignment="1" applyProtection="1">
      <alignment horizontal="left" vertical="center" wrapText="1"/>
      <protection/>
    </xf>
    <xf numFmtId="0" fontId="51" fillId="0" borderId="55" xfId="63" applyBorder="1" applyAlignment="1" applyProtection="1">
      <alignment horizontal="center" vertical="center" wrapText="1"/>
      <protection/>
    </xf>
    <xf numFmtId="0" fontId="51" fillId="0" borderId="37" xfId="63" applyBorder="1" applyAlignment="1" applyProtection="1">
      <alignment horizontal="center" vertical="center" wrapText="1"/>
      <protection/>
    </xf>
    <xf numFmtId="0" fontId="51" fillId="0" borderId="71" xfId="63" applyBorder="1" applyAlignment="1" applyProtection="1">
      <alignment horizontal="center" vertical="center" wrapText="1"/>
      <protection/>
    </xf>
    <xf numFmtId="0" fontId="51" fillId="0" borderId="61" xfId="63" applyBorder="1" applyAlignment="1" applyProtection="1">
      <alignment horizontal="center" vertical="center" wrapText="1"/>
      <protection/>
    </xf>
    <xf numFmtId="0" fontId="51" fillId="0" borderId="49" xfId="63" applyBorder="1" applyAlignment="1" applyProtection="1">
      <alignment horizontal="center" vertical="center" wrapText="1"/>
      <protection/>
    </xf>
    <xf numFmtId="0" fontId="51" fillId="0" borderId="72" xfId="63" applyBorder="1" applyAlignment="1" applyProtection="1">
      <alignment horizontal="center" vertical="center" wrapText="1"/>
      <protection/>
    </xf>
    <xf numFmtId="0" fontId="0" fillId="0" borderId="10" xfId="68" applyFill="1" applyBorder="1" applyAlignment="1" applyProtection="1">
      <alignment horizontal="left" vertical="center" wrapText="1"/>
      <protection/>
    </xf>
    <xf numFmtId="0" fontId="0" fillId="0" borderId="11" xfId="68" applyFont="1" applyFill="1" applyBorder="1" applyAlignment="1" applyProtection="1">
      <alignment horizontal="left" vertical="center" wrapText="1"/>
      <protection/>
    </xf>
    <xf numFmtId="0" fontId="0" fillId="0" borderId="12" xfId="68" applyFont="1" applyFill="1" applyBorder="1" applyAlignment="1" applyProtection="1">
      <alignment horizontal="left" vertical="center" wrapText="1"/>
      <protection/>
    </xf>
    <xf numFmtId="0" fontId="0" fillId="0" borderId="13" xfId="68" applyFont="1" applyFill="1" applyBorder="1" applyAlignment="1" applyProtection="1">
      <alignment horizontal="left" vertical="center" wrapText="1"/>
      <protection/>
    </xf>
    <xf numFmtId="0" fontId="0" fillId="0" borderId="0" xfId="68" applyFont="1" applyFill="1" applyBorder="1" applyAlignment="1" applyProtection="1">
      <alignment horizontal="left" vertical="center" wrapText="1"/>
      <protection/>
    </xf>
    <xf numFmtId="0" fontId="0" fillId="0" borderId="14" xfId="68" applyFont="1" applyFill="1" applyBorder="1" applyAlignment="1" applyProtection="1">
      <alignment horizontal="left" vertical="center" wrapText="1"/>
      <protection/>
    </xf>
    <xf numFmtId="0" fontId="0" fillId="0" borderId="15" xfId="68" applyFont="1" applyFill="1" applyBorder="1" applyAlignment="1" applyProtection="1">
      <alignment horizontal="left" vertical="center" wrapText="1"/>
      <protection/>
    </xf>
    <xf numFmtId="0" fontId="0" fillId="0" borderId="16" xfId="68" applyFont="1" applyFill="1" applyBorder="1" applyAlignment="1" applyProtection="1">
      <alignment horizontal="left" vertical="center" wrapText="1"/>
      <protection/>
    </xf>
    <xf numFmtId="0" fontId="0" fillId="0" borderId="17" xfId="68" applyFont="1" applyFill="1" applyBorder="1" applyAlignment="1" applyProtection="1">
      <alignment horizontal="left" vertical="center" wrapText="1"/>
      <protection/>
    </xf>
    <xf numFmtId="0" fontId="65" fillId="0" borderId="10" xfId="68" applyFont="1" applyFill="1" applyBorder="1" applyAlignment="1" applyProtection="1">
      <alignment horizontal="center" vertical="center"/>
      <protection/>
    </xf>
    <xf numFmtId="0" fontId="65" fillId="0" borderId="52" xfId="68" applyFont="1" applyFill="1" applyBorder="1" applyAlignment="1" applyProtection="1">
      <alignment horizontal="center" vertical="center"/>
      <protection/>
    </xf>
    <xf numFmtId="0" fontId="65" fillId="0" borderId="13" xfId="68" applyFont="1" applyFill="1" applyBorder="1" applyAlignment="1" applyProtection="1">
      <alignment horizontal="center" vertical="center"/>
      <protection/>
    </xf>
    <xf numFmtId="0" fontId="65" fillId="0" borderId="73" xfId="68" applyFont="1" applyFill="1" applyBorder="1" applyAlignment="1" applyProtection="1">
      <alignment horizontal="center" vertical="center"/>
      <protection/>
    </xf>
    <xf numFmtId="0" fontId="65" fillId="0" borderId="15" xfId="68" applyFont="1" applyFill="1" applyBorder="1" applyAlignment="1" applyProtection="1">
      <alignment horizontal="center" vertical="center"/>
      <protection/>
    </xf>
    <xf numFmtId="0" fontId="65" fillId="0" borderId="74" xfId="68" applyFont="1" applyFill="1" applyBorder="1" applyAlignment="1" applyProtection="1">
      <alignment horizontal="center" vertical="center"/>
      <protection/>
    </xf>
    <xf numFmtId="0" fontId="0" fillId="0" borderId="75" xfId="68" applyFont="1" applyFill="1" applyBorder="1" applyAlignment="1" applyProtection="1">
      <alignment horizontal="center"/>
      <protection/>
    </xf>
    <xf numFmtId="0" fontId="0" fillId="0" borderId="11" xfId="68" applyFont="1" applyFill="1" applyBorder="1" applyAlignment="1" applyProtection="1">
      <alignment horizontal="center"/>
      <protection/>
    </xf>
    <xf numFmtId="0" fontId="0" fillId="0" borderId="52" xfId="68" applyFont="1" applyFill="1" applyBorder="1" applyAlignment="1" applyProtection="1">
      <alignment horizontal="center"/>
      <protection/>
    </xf>
    <xf numFmtId="0" fontId="7" fillId="16" borderId="35" xfId="68" applyFont="1" applyFill="1" applyBorder="1" applyAlignment="1" applyProtection="1">
      <alignment horizontal="center" vertical="center" wrapText="1"/>
      <protection/>
    </xf>
    <xf numFmtId="0" fontId="7" fillId="16" borderId="76" xfId="68" applyFont="1" applyFill="1" applyBorder="1" applyAlignment="1" applyProtection="1">
      <alignment horizontal="center" vertical="center" wrapText="1"/>
      <protection/>
    </xf>
    <xf numFmtId="0" fontId="0" fillId="0" borderId="65" xfId="68" applyFont="1" applyFill="1" applyBorder="1" applyAlignment="1" applyProtection="1">
      <alignment horizontal="center"/>
      <protection/>
    </xf>
    <xf numFmtId="0" fontId="0" fillId="0" borderId="0" xfId="68" applyFont="1" applyFill="1" applyBorder="1" applyAlignment="1" applyProtection="1">
      <alignment horizontal="center"/>
      <protection/>
    </xf>
    <xf numFmtId="0" fontId="0" fillId="0" borderId="73" xfId="68" applyFont="1" applyFill="1" applyBorder="1" applyAlignment="1" applyProtection="1">
      <alignment horizontal="center"/>
      <protection/>
    </xf>
    <xf numFmtId="0" fontId="6" fillId="19" borderId="19" xfId="68" applyFont="1" applyFill="1" applyBorder="1" applyAlignment="1" applyProtection="1">
      <alignment horizontal="center" vertical="center" wrapText="1"/>
      <protection/>
    </xf>
    <xf numFmtId="0" fontId="6" fillId="19" borderId="71" xfId="68" applyFont="1" applyFill="1" applyBorder="1" applyAlignment="1" applyProtection="1">
      <alignment horizontal="center" vertical="center" wrapText="1"/>
      <protection/>
    </xf>
    <xf numFmtId="0" fontId="0" fillId="0" borderId="77" xfId="68" applyFont="1" applyFill="1" applyBorder="1" applyAlignment="1" applyProtection="1">
      <alignment horizontal="center"/>
      <protection/>
    </xf>
    <xf numFmtId="0" fontId="0" fillId="0" borderId="16" xfId="68" applyFont="1" applyFill="1" applyBorder="1" applyAlignment="1" applyProtection="1">
      <alignment horizontal="center"/>
      <protection/>
    </xf>
    <xf numFmtId="0" fontId="0" fillId="0" borderId="74" xfId="68" applyFont="1" applyFill="1" applyBorder="1" applyAlignment="1" applyProtection="1">
      <alignment horizontal="center"/>
      <protection/>
    </xf>
    <xf numFmtId="0" fontId="6" fillId="8" borderId="49" xfId="68" applyFont="1" applyFill="1" applyBorder="1" applyAlignment="1" applyProtection="1">
      <alignment horizontal="center"/>
      <protection/>
    </xf>
    <xf numFmtId="0" fontId="6" fillId="8" borderId="72" xfId="68" applyFont="1" applyFill="1" applyBorder="1" applyAlignment="1" applyProtection="1">
      <alignment horizontal="center"/>
      <protection/>
    </xf>
    <xf numFmtId="0" fontId="61" fillId="16" borderId="10" xfId="68" applyFont="1" applyFill="1" applyBorder="1" applyAlignment="1" applyProtection="1">
      <alignment horizontal="center"/>
      <protection/>
    </xf>
    <xf numFmtId="0" fontId="61" fillId="16" borderId="11" xfId="68" applyFont="1" applyFill="1" applyBorder="1" applyAlignment="1" applyProtection="1">
      <alignment horizontal="center"/>
      <protection/>
    </xf>
    <xf numFmtId="0" fontId="61" fillId="16" borderId="12" xfId="68" applyFont="1" applyFill="1" applyBorder="1" applyAlignment="1" applyProtection="1">
      <alignment horizontal="center"/>
      <protection/>
    </xf>
    <xf numFmtId="0" fontId="63" fillId="16" borderId="15" xfId="68" applyFont="1" applyFill="1" applyBorder="1" applyAlignment="1" applyProtection="1">
      <alignment horizontal="center" vertical="center"/>
      <protection/>
    </xf>
    <xf numFmtId="0" fontId="63" fillId="16" borderId="16" xfId="68" applyFont="1" applyFill="1" applyBorder="1" applyAlignment="1" applyProtection="1">
      <alignment horizontal="center" vertical="center"/>
      <protection/>
    </xf>
    <xf numFmtId="0" fontId="63" fillId="16" borderId="17" xfId="68" applyFont="1" applyFill="1" applyBorder="1" applyAlignment="1" applyProtection="1">
      <alignment horizontal="center" vertical="center"/>
      <protection/>
    </xf>
    <xf numFmtId="14" fontId="60" fillId="0" borderId="19" xfId="68" applyNumberFormat="1" applyFont="1" applyFill="1" applyBorder="1" applyAlignment="1" applyProtection="1">
      <alignment horizontal="right"/>
      <protection/>
    </xf>
    <xf numFmtId="0" fontId="0" fillId="0" borderId="37" xfId="68" applyFill="1" applyBorder="1" applyProtection="1">
      <alignment/>
      <protection/>
    </xf>
    <xf numFmtId="14" fontId="60" fillId="0" borderId="37" xfId="68" applyNumberFormat="1" applyFont="1" applyFill="1" applyBorder="1" applyAlignment="1" applyProtection="1">
      <alignment horizontal="left"/>
      <protection/>
    </xf>
    <xf numFmtId="0" fontId="0" fillId="0" borderId="20" xfId="68" applyFill="1" applyBorder="1" applyProtection="1">
      <alignment/>
      <protection/>
    </xf>
    <xf numFmtId="0" fontId="51" fillId="0" borderId="33" xfId="63" applyFill="1" applyBorder="1" applyAlignment="1" applyProtection="1">
      <alignment horizontal="center" wrapText="1"/>
      <protection/>
    </xf>
    <xf numFmtId="0" fontId="51" fillId="0" borderId="56" xfId="63" applyFill="1" applyBorder="1" applyAlignment="1" applyProtection="1">
      <alignment horizontal="center" wrapText="1"/>
      <protection/>
    </xf>
    <xf numFmtId="0" fontId="51" fillId="0" borderId="30" xfId="63" applyFill="1" applyBorder="1" applyAlignment="1" applyProtection="1">
      <alignment horizontal="center" wrapText="1"/>
      <protection/>
    </xf>
    <xf numFmtId="0" fontId="51" fillId="0" borderId="78" xfId="63" applyFill="1" applyBorder="1" applyAlignment="1" applyProtection="1">
      <alignment horizontal="center" wrapText="1"/>
      <protection/>
    </xf>
    <xf numFmtId="0" fontId="51" fillId="0" borderId="48" xfId="63" applyFill="1" applyBorder="1" applyAlignment="1" applyProtection="1">
      <alignment horizontal="center" wrapText="1"/>
      <protection/>
    </xf>
    <xf numFmtId="0" fontId="51" fillId="0" borderId="42" xfId="63" applyFill="1" applyBorder="1" applyAlignment="1" applyProtection="1">
      <alignment horizontal="center" wrapText="1"/>
      <protection/>
    </xf>
    <xf numFmtId="0" fontId="60" fillId="0" borderId="61" xfId="68" applyFont="1" applyFill="1" applyBorder="1" applyAlignment="1" applyProtection="1">
      <alignment horizontal="right"/>
      <protection/>
    </xf>
    <xf numFmtId="0" fontId="60" fillId="0" borderId="49" xfId="68" applyFont="1" applyFill="1" applyBorder="1" applyAlignment="1" applyProtection="1">
      <alignment horizontal="right"/>
      <protection/>
    </xf>
    <xf numFmtId="14" fontId="60" fillId="0" borderId="25" xfId="68" applyNumberFormat="1" applyFont="1" applyFill="1" applyBorder="1" applyAlignment="1" applyProtection="1">
      <alignment horizontal="left"/>
      <protection/>
    </xf>
    <xf numFmtId="0" fontId="60" fillId="0" borderId="62" xfId="68" applyFont="1" applyFill="1" applyBorder="1" applyAlignment="1" applyProtection="1">
      <alignment horizontal="left"/>
      <protection/>
    </xf>
    <xf numFmtId="0" fontId="60" fillId="0" borderId="32" xfId="68" applyFont="1" applyFill="1" applyBorder="1" applyAlignment="1" applyProtection="1">
      <alignment horizontal="left"/>
      <protection/>
    </xf>
    <xf numFmtId="0" fontId="0" fillId="0" borderId="19" xfId="0" applyFill="1" applyBorder="1" applyAlignment="1" applyProtection="1">
      <alignment horizontal="right"/>
      <protection/>
    </xf>
    <xf numFmtId="0" fontId="0" fillId="0" borderId="37" xfId="0" applyFill="1" applyBorder="1" applyAlignment="1" applyProtection="1">
      <alignment horizontal="right"/>
      <protection/>
    </xf>
    <xf numFmtId="0" fontId="51" fillId="0" borderId="19" xfId="63" applyFill="1" applyBorder="1" applyAlignment="1" applyProtection="1">
      <alignment horizontal="center"/>
      <protection/>
    </xf>
    <xf numFmtId="0" fontId="51" fillId="0" borderId="37" xfId="63" applyFill="1" applyBorder="1" applyAlignment="1" applyProtection="1">
      <alignment horizontal="center"/>
      <protection/>
    </xf>
    <xf numFmtId="0" fontId="51" fillId="0" borderId="20" xfId="63" applyFill="1" applyBorder="1" applyAlignment="1" applyProtection="1">
      <alignment horizontal="center"/>
      <protection/>
    </xf>
    <xf numFmtId="175" fontId="58" fillId="8" borderId="56" xfId="0" applyNumberFormat="1" applyFont="1" applyFill="1" applyBorder="1" applyAlignment="1" applyProtection="1">
      <alignment horizontal="center" vertical="center" wrapText="1"/>
      <protection/>
    </xf>
    <xf numFmtId="175" fontId="58" fillId="8" borderId="30" xfId="0" applyNumberFormat="1" applyFont="1" applyFill="1" applyBorder="1" applyAlignment="1" applyProtection="1">
      <alignment horizontal="center" vertical="center" wrapText="1"/>
      <protection/>
    </xf>
    <xf numFmtId="175" fontId="58" fillId="8" borderId="62" xfId="0" applyNumberFormat="1" applyFont="1" applyFill="1" applyBorder="1" applyAlignment="1" applyProtection="1">
      <alignment horizontal="center" vertical="center" wrapText="1"/>
      <protection/>
    </xf>
    <xf numFmtId="175" fontId="58" fillId="8" borderId="32" xfId="0" applyNumberFormat="1" applyFont="1" applyFill="1" applyBorder="1" applyAlignment="1" applyProtection="1">
      <alignment horizontal="center" vertical="center" wrapText="1"/>
      <protection/>
    </xf>
    <xf numFmtId="175" fontId="58" fillId="8" borderId="33" xfId="0" applyNumberFormat="1" applyFont="1" applyFill="1" applyBorder="1" applyAlignment="1" applyProtection="1">
      <alignment horizontal="center" vertical="center" wrapText="1"/>
      <protection/>
    </xf>
    <xf numFmtId="175" fontId="58" fillId="8" borderId="34" xfId="0" applyNumberFormat="1" applyFont="1" applyFill="1" applyBorder="1" applyAlignment="1" applyProtection="1">
      <alignment horizontal="center" vertical="center" wrapText="1"/>
      <protection/>
    </xf>
    <xf numFmtId="0" fontId="58" fillId="8" borderId="34" xfId="0" applyFont="1" applyFill="1" applyBorder="1" applyAlignment="1" applyProtection="1">
      <alignment horizontal="center" vertical="center"/>
      <protection/>
    </xf>
    <xf numFmtId="0" fontId="58" fillId="8" borderId="62" xfId="0" applyFont="1" applyFill="1" applyBorder="1" applyAlignment="1" applyProtection="1">
      <alignment horizontal="center" vertical="center"/>
      <protection/>
    </xf>
    <xf numFmtId="0" fontId="58" fillId="8" borderId="32" xfId="0" applyFont="1" applyFill="1" applyBorder="1" applyAlignment="1" applyProtection="1">
      <alignment horizontal="center" vertical="center"/>
      <protection/>
    </xf>
    <xf numFmtId="0" fontId="58" fillId="8" borderId="18" xfId="0" applyFont="1" applyFill="1" applyBorder="1" applyAlignment="1" applyProtection="1">
      <alignment horizontal="center" vertical="center" wrapText="1"/>
      <protection/>
    </xf>
    <xf numFmtId="0" fontId="58" fillId="8" borderId="31" xfId="0" applyFont="1" applyFill="1" applyBorder="1" applyAlignment="1" applyProtection="1">
      <alignment horizontal="center" vertical="center" wrapText="1"/>
      <protection/>
    </xf>
    <xf numFmtId="0" fontId="58" fillId="8" borderId="33" xfId="0" applyFont="1" applyFill="1" applyBorder="1" applyAlignment="1" applyProtection="1">
      <alignment horizontal="center" vertical="center"/>
      <protection/>
    </xf>
    <xf numFmtId="0" fontId="58" fillId="8" borderId="56" xfId="0" applyFont="1" applyFill="1" applyBorder="1" applyAlignment="1" applyProtection="1">
      <alignment horizontal="center" vertical="center"/>
      <protection/>
    </xf>
    <xf numFmtId="0" fontId="58" fillId="8" borderId="30" xfId="0" applyFont="1" applyFill="1" applyBorder="1" applyAlignment="1" applyProtection="1">
      <alignment horizontal="center" vertical="center"/>
      <protection/>
    </xf>
    <xf numFmtId="0" fontId="58" fillId="8" borderId="26"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77" fontId="58" fillId="8" borderId="18" xfId="0" applyNumberFormat="1" applyFont="1" applyFill="1" applyBorder="1" applyAlignment="1" applyProtection="1">
      <alignment horizontal="center" vertical="center"/>
      <protection/>
    </xf>
    <xf numFmtId="177" fontId="58" fillId="8" borderId="31" xfId="0" applyNumberFormat="1" applyFont="1" applyFill="1" applyBorder="1" applyAlignment="1" applyProtection="1">
      <alignment horizontal="center" vertical="center"/>
      <protection/>
    </xf>
    <xf numFmtId="10" fontId="58" fillId="8" borderId="18" xfId="0" applyNumberFormat="1" applyFont="1" applyFill="1" applyBorder="1" applyAlignment="1" applyProtection="1">
      <alignment horizontal="center" vertical="center"/>
      <protection/>
    </xf>
    <xf numFmtId="10" fontId="58" fillId="8" borderId="31" xfId="0" applyNumberFormat="1" applyFont="1" applyFill="1" applyBorder="1" applyAlignment="1" applyProtection="1">
      <alignment horizontal="center" vertical="center"/>
      <protection/>
    </xf>
    <xf numFmtId="172" fontId="58" fillId="8" borderId="62" xfId="0" applyNumberFormat="1" applyFont="1" applyFill="1" applyBorder="1" applyAlignment="1" applyProtection="1">
      <alignment horizontal="center" vertical="center"/>
      <protection/>
    </xf>
    <xf numFmtId="172" fontId="58" fillId="8" borderId="32" xfId="0" applyNumberFormat="1" applyFont="1" applyFill="1" applyBorder="1" applyAlignment="1" applyProtection="1">
      <alignment horizontal="center" vertical="center"/>
      <protection/>
    </xf>
    <xf numFmtId="172" fontId="58" fillId="8" borderId="25" xfId="0" applyNumberFormat="1" applyFont="1" applyFill="1" applyBorder="1" applyAlignment="1" applyProtection="1">
      <alignment horizontal="center" vertical="center"/>
      <protection/>
    </xf>
    <xf numFmtId="10" fontId="58" fillId="8" borderId="20" xfId="0" applyNumberFormat="1" applyFont="1" applyFill="1" applyBorder="1" applyAlignment="1" applyProtection="1">
      <alignment horizontal="center" vertical="center"/>
      <protection/>
    </xf>
    <xf numFmtId="177" fontId="58" fillId="8" borderId="20" xfId="0" applyNumberFormat="1" applyFont="1" applyFill="1" applyBorder="1" applyAlignment="1" applyProtection="1">
      <alignment horizontal="center" vertical="center"/>
      <protection/>
    </xf>
    <xf numFmtId="0" fontId="58"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wrapText="1"/>
      <protection/>
    </xf>
    <xf numFmtId="0" fontId="65" fillId="16" borderId="68" xfId="0" applyFont="1" applyFill="1" applyBorder="1" applyAlignment="1" applyProtection="1">
      <alignment horizontal="center" vertical="center" wrapText="1"/>
      <protection/>
    </xf>
    <xf numFmtId="0" fontId="65" fillId="16" borderId="69" xfId="0" applyFont="1" applyFill="1" applyBorder="1" applyAlignment="1" applyProtection="1">
      <alignment horizontal="center" vertical="center" wrapText="1"/>
      <protection/>
    </xf>
    <xf numFmtId="0" fontId="65" fillId="16" borderId="70" xfId="0" applyFont="1" applyFill="1" applyBorder="1" applyAlignment="1" applyProtection="1">
      <alignment horizontal="center" vertical="center" wrapText="1"/>
      <protection/>
    </xf>
    <xf numFmtId="0" fontId="0" fillId="0" borderId="2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3" fillId="0" borderId="26" xfId="68" applyFont="1" applyFill="1" applyBorder="1" applyAlignment="1" applyProtection="1">
      <alignment horizontal="left" vertical="center"/>
      <protection/>
    </xf>
    <xf numFmtId="0" fontId="3" fillId="0" borderId="18" xfId="68" applyFont="1" applyFill="1" applyBorder="1" applyAlignment="1" applyProtection="1">
      <alignment horizontal="left" vertical="center"/>
      <protection/>
    </xf>
    <xf numFmtId="0" fontId="3" fillId="0" borderId="34" xfId="68" applyFont="1" applyFill="1" applyBorder="1" applyAlignment="1" applyProtection="1">
      <alignment horizontal="left" vertical="center"/>
      <protection/>
    </xf>
    <xf numFmtId="0" fontId="3" fillId="0" borderId="62" xfId="68" applyFont="1" applyFill="1" applyBorder="1" applyAlignment="1" applyProtection="1">
      <alignment horizontal="left" vertical="center"/>
      <protection/>
    </xf>
    <xf numFmtId="0" fontId="61" fillId="0" borderId="56" xfId="0" applyFont="1" applyFill="1" applyBorder="1" applyAlignment="1" applyProtection="1">
      <alignment horizontal="center" vertical="center"/>
      <protection/>
    </xf>
    <xf numFmtId="0" fontId="61" fillId="0" borderId="30"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0" borderId="31" xfId="0" applyFont="1" applyFill="1" applyBorder="1" applyAlignment="1" applyProtection="1">
      <alignment horizontal="center" vertical="center"/>
      <protection/>
    </xf>
    <xf numFmtId="0" fontId="61" fillId="0" borderId="62" xfId="0" applyFont="1" applyFill="1" applyBorder="1" applyAlignment="1" applyProtection="1">
      <alignment horizontal="center" vertical="center"/>
      <protection/>
    </xf>
    <xf numFmtId="0" fontId="61" fillId="0" borderId="32" xfId="0" applyFont="1" applyFill="1" applyBorder="1" applyAlignment="1" applyProtection="1">
      <alignment horizontal="center" vertical="center"/>
      <protection/>
    </xf>
    <xf numFmtId="0" fontId="60" fillId="0" borderId="62" xfId="0" applyFont="1" applyFill="1" applyBorder="1" applyAlignment="1" applyProtection="1" quotePrefix="1">
      <alignment horizontal="left" vertical="center"/>
      <protection/>
    </xf>
    <xf numFmtId="0" fontId="60" fillId="0" borderId="18" xfId="0" applyFont="1" applyFill="1" applyBorder="1" applyAlignment="1" applyProtection="1" quotePrefix="1">
      <alignment horizontal="left" vertical="center"/>
      <protection/>
    </xf>
    <xf numFmtId="0" fontId="0" fillId="0" borderId="79" xfId="0" applyFill="1" applyBorder="1" applyAlignment="1" applyProtection="1">
      <alignment horizontal="left"/>
      <protection/>
    </xf>
    <xf numFmtId="0" fontId="0" fillId="0" borderId="35" xfId="0" applyFill="1" applyBorder="1" applyAlignment="1" applyProtection="1">
      <alignment horizontal="left"/>
      <protection/>
    </xf>
    <xf numFmtId="0" fontId="0" fillId="0" borderId="27" xfId="0" applyFill="1" applyBorder="1" applyAlignment="1" applyProtection="1">
      <alignment horizontal="left"/>
      <protection/>
    </xf>
    <xf numFmtId="0" fontId="0" fillId="0" borderId="0"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177" fontId="0" fillId="0" borderId="47" xfId="0" applyNumberFormat="1" applyFill="1" applyBorder="1" applyAlignment="1" applyProtection="1">
      <alignment horizontal="center" vertical="center" wrapText="1"/>
      <protection/>
    </xf>
    <xf numFmtId="0" fontId="0" fillId="0" borderId="18" xfId="68" applyFill="1" applyBorder="1" applyAlignment="1" applyProtection="1">
      <alignment horizontal="center" vertical="center"/>
      <protection/>
    </xf>
    <xf numFmtId="0" fontId="0" fillId="0" borderId="34"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0" fillId="0" borderId="62" xfId="0" applyFill="1" applyBorder="1" applyAlignment="1" applyProtection="1">
      <alignment horizontal="center" vertical="center"/>
      <protection/>
    </xf>
    <xf numFmtId="0" fontId="0" fillId="0" borderId="47" xfId="68" applyFill="1" applyBorder="1" applyAlignment="1" applyProtection="1">
      <alignment horizontal="center" vertical="center"/>
      <protection/>
    </xf>
    <xf numFmtId="177" fontId="0" fillId="0" borderId="18" xfId="0" applyNumberFormat="1" applyFill="1" applyBorder="1" applyAlignment="1" applyProtection="1">
      <alignment horizontal="center" vertical="center" wrapText="1"/>
      <protection/>
    </xf>
    <xf numFmtId="0" fontId="0" fillId="0" borderId="18" xfId="0" applyFill="1" applyBorder="1" applyAlignment="1" applyProtection="1">
      <alignment horizontal="center" vertical="center"/>
      <protection/>
    </xf>
    <xf numFmtId="0" fontId="36" fillId="0" borderId="68" xfId="68" applyFont="1" applyFill="1" applyBorder="1" applyAlignment="1" applyProtection="1">
      <alignment horizontal="center" vertical="center"/>
      <protection/>
    </xf>
    <xf numFmtId="0" fontId="36" fillId="0" borderId="69" xfId="68" applyFont="1" applyFill="1" applyBorder="1" applyAlignment="1" applyProtection="1">
      <alignment horizontal="center" vertical="center"/>
      <protection/>
    </xf>
    <xf numFmtId="0" fontId="36" fillId="0" borderId="70" xfId="68" applyFont="1" applyFill="1" applyBorder="1" applyAlignment="1" applyProtection="1">
      <alignment horizontal="center" vertical="center"/>
      <protection/>
    </xf>
    <xf numFmtId="0" fontId="3" fillId="0" borderId="67" xfId="68" applyFont="1" applyFill="1" applyBorder="1" applyAlignment="1" applyProtection="1">
      <alignment horizontal="left" vertical="center"/>
      <protection/>
    </xf>
    <xf numFmtId="0" fontId="3" fillId="0" borderId="47" xfId="68" applyFont="1" applyFill="1" applyBorder="1" applyAlignment="1" applyProtection="1">
      <alignment horizontal="left" vertical="center"/>
      <protection/>
    </xf>
    <xf numFmtId="0" fontId="3" fillId="0" borderId="47" xfId="68" applyFont="1" applyFill="1" applyBorder="1" applyAlignment="1" applyProtection="1">
      <alignment horizontal="center" vertical="center"/>
      <protection/>
    </xf>
    <xf numFmtId="177" fontId="3" fillId="0" borderId="18" xfId="68" applyNumberFormat="1" applyFont="1" applyFill="1" applyBorder="1" applyAlignment="1" applyProtection="1">
      <alignment horizontal="center" vertical="center"/>
      <protection/>
    </xf>
    <xf numFmtId="177" fontId="0" fillId="0" borderId="62" xfId="0" applyNumberFormat="1" applyFill="1" applyBorder="1" applyAlignment="1" applyProtection="1">
      <alignment horizontal="center" vertical="center"/>
      <protection/>
    </xf>
    <xf numFmtId="0" fontId="0" fillId="0" borderId="47"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0" fontId="0" fillId="0" borderId="32" xfId="0" applyFill="1" applyBorder="1" applyAlignment="1" applyProtection="1">
      <alignment horizontal="center" vertical="center"/>
      <protection/>
    </xf>
    <xf numFmtId="0" fontId="0" fillId="0" borderId="62" xfId="68" applyFill="1" applyBorder="1" applyAlignment="1" applyProtection="1">
      <alignment horizontal="center" vertical="center"/>
      <protection/>
    </xf>
    <xf numFmtId="0" fontId="0" fillId="0" borderId="32" xfId="68" applyFill="1" applyBorder="1" applyAlignment="1" applyProtection="1">
      <alignment horizontal="center" vertical="center"/>
      <protection/>
    </xf>
    <xf numFmtId="0" fontId="0" fillId="0" borderId="18"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46" xfId="68"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31" xfId="68" applyFill="1" applyBorder="1" applyAlignment="1" applyProtection="1">
      <alignment horizontal="center" vertical="center"/>
      <protection/>
    </xf>
    <xf numFmtId="0" fontId="3" fillId="0" borderId="46" xfId="68" applyFont="1" applyFill="1" applyBorder="1" applyAlignment="1" applyProtection="1">
      <alignment horizontal="center" vertical="center"/>
      <protection/>
    </xf>
    <xf numFmtId="0" fontId="3" fillId="0" borderId="18" xfId="68" applyFont="1" applyFill="1" applyBorder="1" applyAlignment="1" applyProtection="1">
      <alignment horizontal="center" vertical="center"/>
      <protection/>
    </xf>
    <xf numFmtId="0" fontId="3" fillId="0" borderId="31" xfId="68" applyFont="1" applyFill="1" applyBorder="1" applyAlignment="1" applyProtection="1">
      <alignment horizontal="center" vertical="center"/>
      <protection/>
    </xf>
    <xf numFmtId="0" fontId="0" fillId="0" borderId="13" xfId="0" applyFill="1" applyBorder="1" applyAlignment="1" applyProtection="1">
      <alignment horizontal="left" wrapText="1"/>
      <protection/>
    </xf>
    <xf numFmtId="0" fontId="0" fillId="0" borderId="14" xfId="0" applyFill="1" applyBorder="1" applyAlignment="1" applyProtection="1">
      <alignment horizontal="left" wrapText="1"/>
      <protection/>
    </xf>
    <xf numFmtId="0" fontId="66" fillId="16" borderId="68" xfId="0" applyFont="1" applyFill="1" applyBorder="1" applyAlignment="1" applyProtection="1">
      <alignment horizontal="center"/>
      <protection/>
    </xf>
    <xf numFmtId="0" fontId="66" fillId="16" borderId="69" xfId="0" applyFont="1" applyFill="1" applyBorder="1" applyAlignment="1" applyProtection="1">
      <alignment horizontal="center"/>
      <protection/>
    </xf>
    <xf numFmtId="0" fontId="66" fillId="16" borderId="70" xfId="0" applyFont="1" applyFill="1" applyBorder="1" applyAlignment="1" applyProtection="1">
      <alignment horizontal="center"/>
      <protection/>
    </xf>
    <xf numFmtId="0" fontId="5" fillId="0" borderId="0" xfId="63" applyFont="1" applyFill="1" applyBorder="1" applyAlignment="1" applyProtection="1">
      <alignment horizontal="center"/>
      <protection/>
    </xf>
    <xf numFmtId="0" fontId="0" fillId="0" borderId="13"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3" xfId="0" applyFill="1" applyBorder="1" applyAlignment="1" applyProtection="1">
      <alignment wrapText="1"/>
      <protection/>
    </xf>
    <xf numFmtId="0" fontId="0" fillId="0" borderId="0" xfId="0" applyFill="1" applyBorder="1" applyAlignment="1" applyProtection="1">
      <alignment wrapText="1"/>
      <protection/>
    </xf>
    <xf numFmtId="0" fontId="0" fillId="0" borderId="14" xfId="0" applyFill="1" applyBorder="1" applyAlignment="1" applyProtection="1">
      <alignment wrapText="1"/>
      <protection/>
    </xf>
    <xf numFmtId="0" fontId="1" fillId="0" borderId="15" xfId="0" applyFont="1" applyFill="1" applyBorder="1" applyAlignment="1" applyProtection="1">
      <alignment horizontal="right" vertical="top" wrapText="1"/>
      <protection/>
    </xf>
    <xf numFmtId="0" fontId="1" fillId="0" borderId="16" xfId="0" applyFont="1" applyFill="1" applyBorder="1" applyAlignment="1" applyProtection="1">
      <alignment horizontal="right" vertical="top" wrapText="1"/>
      <protection/>
    </xf>
    <xf numFmtId="0" fontId="51" fillId="0" borderId="16" xfId="63" applyFill="1" applyBorder="1" applyAlignment="1" applyProtection="1">
      <alignment horizontal="left" vertical="top" wrapText="1"/>
      <protection/>
    </xf>
    <xf numFmtId="0" fontId="51" fillId="0" borderId="17" xfId="63" applyFill="1" applyBorder="1" applyAlignment="1" applyProtection="1">
      <alignment horizontal="left" vertical="top" wrapText="1"/>
      <protection/>
    </xf>
    <xf numFmtId="0" fontId="0" fillId="0" borderId="15"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top" wrapText="1"/>
      <protection/>
    </xf>
    <xf numFmtId="0" fontId="6" fillId="0" borderId="16" xfId="0" applyFont="1" applyFill="1" applyBorder="1" applyAlignment="1" applyProtection="1">
      <alignment horizontal="left" vertical="top" wrapText="1"/>
      <protection/>
    </xf>
    <xf numFmtId="0" fontId="6" fillId="0" borderId="17" xfId="0" applyFont="1" applyFill="1" applyBorder="1" applyAlignment="1" applyProtection="1">
      <alignment horizontal="left" vertical="top" wrapText="1"/>
      <protection/>
    </xf>
    <xf numFmtId="0" fontId="58" fillId="16" borderId="68" xfId="0" applyFont="1" applyFill="1" applyBorder="1" applyAlignment="1" applyProtection="1">
      <alignment horizontal="center"/>
      <protection/>
    </xf>
    <xf numFmtId="0" fontId="58" fillId="16" borderId="69" xfId="0" applyFont="1" applyFill="1" applyBorder="1" applyAlignment="1" applyProtection="1">
      <alignment horizontal="center"/>
      <protection/>
    </xf>
    <xf numFmtId="0" fontId="58" fillId="16" borderId="70" xfId="0" applyFont="1" applyFill="1" applyBorder="1" applyAlignment="1" applyProtection="1">
      <alignment horizontal="center"/>
      <protection/>
    </xf>
    <xf numFmtId="0" fontId="1" fillId="0" borderId="10" xfId="0" applyFont="1" applyFill="1" applyBorder="1" applyAlignment="1" applyProtection="1">
      <alignment horizontal="right" vertical="top" wrapText="1"/>
      <protection/>
    </xf>
    <xf numFmtId="0" fontId="1" fillId="0" borderId="11" xfId="0" applyFont="1" applyFill="1" applyBorder="1" applyAlignment="1" applyProtection="1">
      <alignment horizontal="right" vertical="top" wrapText="1"/>
      <protection/>
    </xf>
    <xf numFmtId="0" fontId="51" fillId="0" borderId="11" xfId="63" applyFill="1" applyBorder="1" applyAlignment="1" applyProtection="1">
      <alignment horizontal="left" vertical="top" wrapText="1"/>
      <protection/>
    </xf>
    <xf numFmtId="0" fontId="51" fillId="0" borderId="12" xfId="63" applyFill="1" applyBorder="1" applyAlignment="1" applyProtection="1">
      <alignment horizontal="left" vertical="top" wrapText="1"/>
      <protection/>
    </xf>
    <xf numFmtId="0" fontId="0" fillId="0" borderId="19" xfId="0"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79" xfId="0" applyBorder="1" applyAlignment="1" applyProtection="1">
      <alignment horizontal="left"/>
      <protection/>
    </xf>
    <xf numFmtId="0" fontId="0" fillId="0" borderId="35" xfId="0" applyBorder="1" applyAlignment="1" applyProtection="1">
      <alignment horizontal="left"/>
      <protection/>
    </xf>
    <xf numFmtId="0" fontId="0" fillId="0" borderId="76" xfId="0" applyBorder="1" applyAlignment="1" applyProtection="1">
      <alignment horizontal="left"/>
      <protection/>
    </xf>
    <xf numFmtId="0" fontId="61" fillId="19" borderId="42" xfId="0" applyFont="1" applyFill="1" applyBorder="1" applyAlignment="1" applyProtection="1">
      <alignment horizontal="center" vertical="center"/>
      <protection locked="0"/>
    </xf>
    <xf numFmtId="0" fontId="61" fillId="19" borderId="80" xfId="0" applyFont="1" applyFill="1" applyBorder="1" applyAlignment="1" applyProtection="1">
      <alignment horizontal="center" vertical="center"/>
      <protection locked="0"/>
    </xf>
    <xf numFmtId="0" fontId="60" fillId="0" borderId="62" xfId="0" applyFont="1" applyFill="1" applyBorder="1" applyAlignment="1" applyProtection="1">
      <alignment horizontal="left" vertical="center"/>
      <protection/>
    </xf>
    <xf numFmtId="0" fontId="60" fillId="0" borderId="18" xfId="0" applyFont="1" applyFill="1" applyBorder="1" applyAlignment="1" applyProtection="1">
      <alignment horizontal="left" vertical="center"/>
      <protection/>
    </xf>
    <xf numFmtId="0" fontId="51" fillId="0" borderId="19" xfId="63" applyFill="1" applyBorder="1" applyAlignment="1" applyProtection="1">
      <alignment horizontal="center" vertical="center"/>
      <protection/>
    </xf>
    <xf numFmtId="0" fontId="51" fillId="0" borderId="37" xfId="63" applyFill="1" applyBorder="1" applyAlignment="1" applyProtection="1">
      <alignment horizontal="center" vertical="center"/>
      <protection/>
    </xf>
    <xf numFmtId="0" fontId="51" fillId="0" borderId="20" xfId="63" applyFill="1" applyBorder="1" applyAlignment="1" applyProtection="1">
      <alignment horizontal="center" vertical="center"/>
      <protection/>
    </xf>
    <xf numFmtId="0" fontId="58" fillId="0" borderId="68" xfId="68" applyFont="1" applyFill="1" applyBorder="1" applyAlignment="1" applyProtection="1">
      <alignment horizontal="center" vertical="center"/>
      <protection/>
    </xf>
    <xf numFmtId="0" fontId="58" fillId="0" borderId="69" xfId="68" applyFont="1" applyFill="1" applyBorder="1" applyAlignment="1" applyProtection="1">
      <alignment horizontal="center" vertical="center"/>
      <protection/>
    </xf>
    <xf numFmtId="0" fontId="58" fillId="0" borderId="70" xfId="68" applyFont="1" applyFill="1" applyBorder="1" applyAlignment="1" applyProtection="1">
      <alignment horizontal="center" vertical="center"/>
      <protection/>
    </xf>
    <xf numFmtId="0" fontId="37" fillId="16" borderId="68" xfId="68" applyFont="1" applyFill="1" applyBorder="1" applyAlignment="1" applyProtection="1">
      <alignment horizontal="center" vertical="center"/>
      <protection/>
    </xf>
    <xf numFmtId="0" fontId="37" fillId="16" borderId="69" xfId="68" applyFont="1" applyFill="1" applyBorder="1" applyAlignment="1" applyProtection="1">
      <alignment horizontal="center" vertical="center"/>
      <protection/>
    </xf>
    <xf numFmtId="0" fontId="37" fillId="16" borderId="70" xfId="68" applyFont="1" applyFill="1" applyBorder="1" applyAlignment="1" applyProtection="1">
      <alignment horizontal="center" vertical="center"/>
      <protection/>
    </xf>
    <xf numFmtId="0" fontId="0" fillId="0" borderId="25"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32" xfId="0" applyFill="1" applyBorder="1" applyAlignment="1" applyProtection="1">
      <alignment horizontal="left" vertical="center"/>
      <protection/>
    </xf>
    <xf numFmtId="0" fontId="51" fillId="0" borderId="68" xfId="63" applyFill="1" applyBorder="1" applyAlignment="1" applyProtection="1">
      <alignment horizontal="center" vertical="center"/>
      <protection/>
    </xf>
    <xf numFmtId="0" fontId="51" fillId="0" borderId="69" xfId="63" applyFill="1" applyBorder="1" applyAlignment="1" applyProtection="1">
      <alignment horizontal="center" vertical="center"/>
      <protection/>
    </xf>
    <xf numFmtId="0" fontId="51" fillId="0" borderId="70" xfId="63" applyFill="1" applyBorder="1" applyAlignment="1" applyProtection="1">
      <alignment horizontal="center" vertical="center"/>
      <protection/>
    </xf>
    <xf numFmtId="0" fontId="3" fillId="0" borderId="45" xfId="68" applyFont="1" applyFill="1" applyBorder="1" applyAlignment="1" applyProtection="1">
      <alignment horizontal="left" vertical="center"/>
      <protection/>
    </xf>
    <xf numFmtId="0" fontId="3" fillId="0" borderId="44" xfId="68" applyFont="1" applyFill="1" applyBorder="1" applyAlignment="1" applyProtection="1">
      <alignment horizontal="left" vertical="center"/>
      <protection/>
    </xf>
    <xf numFmtId="0" fontId="3" fillId="0" borderId="46" xfId="68" applyFont="1"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19"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0" fontId="3" fillId="0" borderId="20" xfId="63" applyFont="1" applyFill="1" applyBorder="1" applyAlignment="1" applyProtection="1">
      <alignment horizontal="left" vertical="center"/>
      <protection/>
    </xf>
    <xf numFmtId="0" fontId="3" fillId="0" borderId="18" xfId="63" applyFont="1" applyFill="1" applyBorder="1" applyAlignment="1" applyProtection="1">
      <alignment horizontal="left" vertical="center"/>
      <protection/>
    </xf>
    <xf numFmtId="0" fontId="3" fillId="0" borderId="19" xfId="63" applyFont="1" applyFill="1" applyBorder="1" applyAlignment="1" applyProtection="1">
      <alignment horizontal="left" vertical="center"/>
      <protection/>
    </xf>
    <xf numFmtId="0" fontId="3" fillId="0" borderId="31" xfId="63" applyFont="1" applyFill="1" applyBorder="1" applyAlignment="1" applyProtection="1">
      <alignment horizontal="left" vertical="center"/>
      <protection/>
    </xf>
    <xf numFmtId="0" fontId="0" fillId="0" borderId="27" xfId="68" applyFill="1" applyBorder="1" applyAlignment="1" applyProtection="1">
      <alignment horizontal="left" vertical="center"/>
      <protection/>
    </xf>
    <xf numFmtId="0" fontId="0" fillId="0" borderId="56" xfId="68" applyFill="1" applyBorder="1" applyAlignment="1" applyProtection="1">
      <alignment horizontal="left" vertical="center"/>
      <protection/>
    </xf>
    <xf numFmtId="0" fontId="0" fillId="0" borderId="36" xfId="68" applyFill="1" applyBorder="1" applyAlignment="1" applyProtection="1">
      <alignment horizontal="left" vertical="center"/>
      <protection/>
    </xf>
    <xf numFmtId="0" fontId="0" fillId="0" borderId="30" xfId="68" applyFill="1" applyBorder="1" applyAlignment="1" applyProtection="1">
      <alignment horizontal="left" vertical="center"/>
      <protection/>
    </xf>
    <xf numFmtId="0" fontId="3" fillId="0" borderId="20" xfId="68" applyFont="1" applyFill="1" applyBorder="1" applyAlignment="1" applyProtection="1">
      <alignment horizontal="left" vertical="center"/>
      <protection/>
    </xf>
    <xf numFmtId="0" fontId="3" fillId="0" borderId="19" xfId="68" applyFont="1"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3" fillId="0" borderId="27" xfId="68" applyFont="1" applyFill="1" applyBorder="1" applyAlignment="1" applyProtection="1">
      <alignment horizontal="left" vertical="center"/>
      <protection/>
    </xf>
    <xf numFmtId="0" fontId="3" fillId="0" borderId="56" xfId="68" applyFont="1" applyFill="1" applyBorder="1" applyAlignment="1" applyProtection="1">
      <alignment horizontal="left" vertical="center"/>
      <protection/>
    </xf>
    <xf numFmtId="0" fontId="3" fillId="0" borderId="36" xfId="68" applyFont="1" applyFill="1" applyBorder="1" applyAlignment="1" applyProtection="1">
      <alignment horizontal="left" vertical="center"/>
      <protection/>
    </xf>
    <xf numFmtId="0" fontId="3" fillId="0" borderId="30" xfId="68" applyFont="1" applyFill="1" applyBorder="1" applyAlignment="1" applyProtection="1">
      <alignment horizontal="left" vertical="center"/>
      <protection/>
    </xf>
    <xf numFmtId="0" fontId="0" fillId="0" borderId="19"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19" xfId="0" applyFill="1" applyBorder="1" applyAlignment="1" applyProtection="1">
      <alignment horizontal="right" vertical="center"/>
      <protection/>
    </xf>
    <xf numFmtId="0" fontId="0" fillId="0" borderId="37" xfId="0" applyFill="1" applyBorder="1" applyAlignment="1" applyProtection="1">
      <alignment horizontal="right" vertical="center"/>
      <protection/>
    </xf>
    <xf numFmtId="0" fontId="0" fillId="0" borderId="25" xfId="68" applyFill="1" applyBorder="1" applyAlignment="1" applyProtection="1">
      <alignment horizontal="left" vertical="center"/>
      <protection/>
    </xf>
    <xf numFmtId="0" fontId="0" fillId="0" borderId="62" xfId="68" applyFill="1" applyBorder="1" applyAlignment="1" applyProtection="1">
      <alignment horizontal="left" vertical="center"/>
      <protection/>
    </xf>
    <xf numFmtId="0" fontId="0" fillId="0" borderId="50"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0" fontId="0" fillId="0" borderId="20" xfId="68" applyFill="1" applyBorder="1" applyAlignment="1" applyProtection="1">
      <alignment horizontal="left" vertical="center"/>
      <protection/>
    </xf>
    <xf numFmtId="0" fontId="0" fillId="0" borderId="18" xfId="68" applyFill="1" applyBorder="1" applyAlignment="1" applyProtection="1">
      <alignment horizontal="left" vertical="center"/>
      <protection/>
    </xf>
    <xf numFmtId="0" fontId="0" fillId="0" borderId="19" xfId="68" applyFill="1" applyBorder="1" applyAlignment="1" applyProtection="1">
      <alignment horizontal="left" vertical="center"/>
      <protection/>
    </xf>
    <xf numFmtId="0" fontId="0" fillId="0" borderId="31" xfId="68" applyFill="1" applyBorder="1" applyAlignment="1" applyProtection="1">
      <alignment horizontal="left" vertical="center"/>
      <protection/>
    </xf>
    <xf numFmtId="175" fontId="58" fillId="8" borderId="42" xfId="0" applyNumberFormat="1" applyFont="1" applyFill="1" applyBorder="1" applyAlignment="1" applyProtection="1">
      <alignment horizontal="center" vertical="center" wrapText="1"/>
      <protection/>
    </xf>
    <xf numFmtId="0" fontId="58" fillId="8" borderId="36" xfId="0" applyFont="1" applyFill="1" applyBorder="1" applyAlignment="1" applyProtection="1">
      <alignment horizontal="center" vertical="center"/>
      <protection/>
    </xf>
    <xf numFmtId="0" fontId="58" fillId="8" borderId="50" xfId="0" applyFont="1" applyFill="1" applyBorder="1" applyAlignment="1" applyProtection="1">
      <alignment horizontal="center" vertical="center"/>
      <protection/>
    </xf>
    <xf numFmtId="175" fontId="58" fillId="8" borderId="78" xfId="0" applyNumberFormat="1" applyFont="1" applyFill="1" applyBorder="1" applyAlignment="1" applyProtection="1">
      <alignment horizontal="center" vertical="center" wrapText="1"/>
      <protection/>
    </xf>
    <xf numFmtId="0" fontId="58" fillId="0" borderId="68" xfId="0" applyFont="1" applyFill="1" applyBorder="1" applyAlignment="1" applyProtection="1">
      <alignment horizontal="center" vertical="center"/>
      <protection/>
    </xf>
    <xf numFmtId="0" fontId="58" fillId="0" borderId="69" xfId="0" applyFont="1" applyFill="1" applyBorder="1" applyAlignment="1" applyProtection="1">
      <alignment horizontal="center" vertical="center"/>
      <protection/>
    </xf>
    <xf numFmtId="0" fontId="58" fillId="0" borderId="70" xfId="0" applyFont="1" applyFill="1" applyBorder="1" applyAlignment="1" applyProtection="1">
      <alignment horizontal="center" vertical="center"/>
      <protection/>
    </xf>
    <xf numFmtId="0" fontId="58" fillId="0" borderId="15"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0" fontId="58" fillId="0" borderId="17" xfId="0" applyFont="1" applyFill="1" applyBorder="1" applyAlignment="1" applyProtection="1">
      <alignment horizontal="center" vertical="center"/>
      <protection/>
    </xf>
    <xf numFmtId="175" fontId="58" fillId="8" borderId="26" xfId="0" applyNumberFormat="1" applyFont="1" applyFill="1" applyBorder="1" applyAlignment="1" applyProtection="1">
      <alignment horizontal="center" vertical="center" wrapText="1"/>
      <protection/>
    </xf>
    <xf numFmtId="175" fontId="58" fillId="8" borderId="31" xfId="0" applyNumberFormat="1" applyFont="1" applyFill="1" applyBorder="1" applyAlignment="1" applyProtection="1">
      <alignment horizontal="center" vertical="center" wrapText="1"/>
      <protection/>
    </xf>
    <xf numFmtId="0" fontId="0" fillId="0" borderId="6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175" fontId="0" fillId="0" borderId="55" xfId="0" applyNumberFormat="1" applyFill="1" applyBorder="1" applyAlignment="1" applyProtection="1">
      <alignment horizontal="center" vertical="center"/>
      <protection/>
    </xf>
    <xf numFmtId="175" fontId="0" fillId="0" borderId="37" xfId="0" applyNumberFormat="1" applyFill="1" applyBorder="1" applyAlignment="1" applyProtection="1">
      <alignment horizontal="center" vertical="center"/>
      <protection/>
    </xf>
    <xf numFmtId="175" fontId="0" fillId="0" borderId="71" xfId="0" applyNumberFormat="1" applyFill="1" applyBorder="1" applyAlignment="1" applyProtection="1">
      <alignment horizontal="center" vertical="center"/>
      <protection/>
    </xf>
    <xf numFmtId="0" fontId="0" fillId="0" borderId="81" xfId="0" applyFont="1" applyFill="1" applyBorder="1" applyAlignment="1" applyProtection="1">
      <alignment horizontal="left" vertical="center"/>
      <protection/>
    </xf>
    <xf numFmtId="0" fontId="0" fillId="0" borderId="82" xfId="0" applyFont="1" applyFill="1" applyBorder="1" applyAlignment="1" applyProtection="1">
      <alignment horizontal="left" vertical="center"/>
      <protection/>
    </xf>
    <xf numFmtId="0" fontId="0" fillId="0" borderId="66" xfId="0"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20" xfId="0"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55" xfId="0" applyFill="1" applyBorder="1" applyAlignment="1" applyProtection="1">
      <alignment horizontal="left" vertical="center"/>
      <protection/>
    </xf>
    <xf numFmtId="0" fontId="58" fillId="0" borderId="83" xfId="0" applyFont="1" applyFill="1" applyBorder="1" applyAlignment="1" applyProtection="1">
      <alignment horizontal="center" vertical="center"/>
      <protection/>
    </xf>
    <xf numFmtId="0" fontId="58" fillId="0" borderId="84" xfId="0" applyFont="1" applyFill="1" applyBorder="1" applyAlignment="1" applyProtection="1">
      <alignment horizontal="center" vertical="center"/>
      <protection/>
    </xf>
    <xf numFmtId="0" fontId="58" fillId="0" borderId="85" xfId="0" applyFont="1" applyFill="1" applyBorder="1" applyAlignment="1" applyProtection="1">
      <alignment horizontal="center" vertical="center"/>
      <protection/>
    </xf>
    <xf numFmtId="0" fontId="0" fillId="0" borderId="67"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78" xfId="0" applyFill="1" applyBorder="1" applyAlignment="1" applyProtection="1">
      <alignment horizontal="left" vertical="center"/>
      <protection/>
    </xf>
    <xf numFmtId="0" fontId="0" fillId="0" borderId="48" xfId="0" applyFill="1" applyBorder="1" applyAlignment="1" applyProtection="1">
      <alignment horizontal="left" vertical="center"/>
      <protection/>
    </xf>
    <xf numFmtId="0" fontId="0" fillId="0" borderId="79" xfId="0" applyFont="1" applyFill="1" applyBorder="1" applyAlignment="1" applyProtection="1">
      <alignment horizontal="left" vertical="center"/>
      <protection/>
    </xf>
    <xf numFmtId="0" fontId="0" fillId="0" borderId="27" xfId="0" applyFont="1" applyFill="1" applyBorder="1" applyAlignment="1" applyProtection="1">
      <alignment horizontal="left" vertical="center"/>
      <protection/>
    </xf>
    <xf numFmtId="0" fontId="0" fillId="0" borderId="67"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67" fillId="16" borderId="68" xfId="0" applyFont="1" applyFill="1" applyBorder="1" applyAlignment="1" applyProtection="1">
      <alignment horizontal="center" vertical="center"/>
      <protection/>
    </xf>
    <xf numFmtId="0" fontId="67" fillId="16" borderId="69" xfId="0" applyFont="1" applyFill="1" applyBorder="1" applyAlignment="1" applyProtection="1">
      <alignment horizontal="center" vertical="center"/>
      <protection/>
    </xf>
    <xf numFmtId="0" fontId="67" fillId="16" borderId="70" xfId="0" applyFont="1"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51" fillId="0" borderId="0" xfId="63" applyFill="1" applyBorder="1" applyAlignment="1" applyProtection="1">
      <alignment horizontal="left"/>
      <protection/>
    </xf>
    <xf numFmtId="0" fontId="51" fillId="0" borderId="14" xfId="63" applyFill="1" applyBorder="1" applyAlignment="1" applyProtection="1">
      <alignment horizontal="left"/>
      <protection/>
    </xf>
    <xf numFmtId="0" fontId="51" fillId="0" borderId="43" xfId="63" applyFill="1" applyBorder="1" applyAlignment="1" applyProtection="1">
      <alignment horizontal="left"/>
      <protection/>
    </xf>
    <xf numFmtId="0" fontId="51" fillId="0" borderId="64" xfId="63" applyFill="1" applyBorder="1" applyAlignment="1" applyProtection="1">
      <alignment horizontal="left"/>
      <protection/>
    </xf>
    <xf numFmtId="0" fontId="3" fillId="33" borderId="18" xfId="63" applyFont="1" applyFill="1" applyBorder="1" applyAlignment="1" applyProtection="1">
      <alignment horizontal="left" vertical="center" wrapText="1"/>
      <protection/>
    </xf>
    <xf numFmtId="0" fontId="3" fillId="33" borderId="31" xfId="63" applyFont="1" applyFill="1" applyBorder="1" applyAlignment="1" applyProtection="1">
      <alignment horizontal="left" vertical="center" wrapText="1"/>
      <protection/>
    </xf>
    <xf numFmtId="0" fontId="3" fillId="33" borderId="48" xfId="63" applyFont="1" applyFill="1" applyBorder="1" applyAlignment="1" applyProtection="1">
      <alignment horizontal="left" vertical="center" wrapText="1"/>
      <protection/>
    </xf>
    <xf numFmtId="0" fontId="3" fillId="33" borderId="42" xfId="63" applyFont="1" applyFill="1" applyBorder="1" applyAlignment="1" applyProtection="1">
      <alignment horizontal="left" vertical="center" wrapText="1"/>
      <protection/>
    </xf>
    <xf numFmtId="0" fontId="0" fillId="33" borderId="1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58" fillId="33" borderId="26" xfId="0" applyFont="1" applyFill="1" applyBorder="1" applyAlignment="1" applyProtection="1">
      <alignment horizontal="center" vertical="center"/>
      <protection/>
    </xf>
    <xf numFmtId="0" fontId="58" fillId="33" borderId="78" xfId="0" applyFont="1" applyFill="1" applyBorder="1" applyAlignment="1" applyProtection="1">
      <alignment horizontal="center" vertical="center"/>
      <protection/>
    </xf>
    <xf numFmtId="0" fontId="3" fillId="0" borderId="39" xfId="63" applyFont="1" applyFill="1" applyBorder="1" applyAlignment="1" applyProtection="1">
      <alignment horizontal="left" vertical="center" wrapText="1"/>
      <protection/>
    </xf>
    <xf numFmtId="0" fontId="3" fillId="0" borderId="63" xfId="63" applyFont="1" applyFill="1" applyBorder="1" applyAlignment="1" applyProtection="1">
      <alignment horizontal="left" vertical="center" wrapText="1"/>
      <protection/>
    </xf>
    <xf numFmtId="0" fontId="58" fillId="0" borderId="78" xfId="0" applyFont="1" applyFill="1" applyBorder="1" applyAlignment="1" applyProtection="1">
      <alignment horizontal="center" vertical="center"/>
      <protection/>
    </xf>
    <xf numFmtId="0" fontId="58" fillId="0" borderId="86" xfId="0" applyFont="1" applyFill="1" applyBorder="1" applyAlignment="1" applyProtection="1">
      <alignment horizontal="center" vertical="center"/>
      <protection/>
    </xf>
    <xf numFmtId="0" fontId="58" fillId="0" borderId="87" xfId="0"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3" fillId="0" borderId="40" xfId="63" applyFont="1" applyFill="1" applyBorder="1" applyAlignment="1" applyProtection="1">
      <alignment horizontal="left" vertical="center" wrapText="1"/>
      <protection/>
    </xf>
    <xf numFmtId="0" fontId="3" fillId="0" borderId="65" xfId="63"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58" fillId="0" borderId="26" xfId="0" applyFont="1" applyFill="1" applyBorder="1" applyAlignment="1" applyProtection="1">
      <alignment horizontal="center" vertical="center"/>
      <protection/>
    </xf>
    <xf numFmtId="0" fontId="3" fillId="0" borderId="39" xfId="63" applyFont="1" applyFill="1" applyBorder="1" applyAlignment="1" applyProtection="1">
      <alignment horizontal="left" wrapText="1"/>
      <protection/>
    </xf>
    <xf numFmtId="0" fontId="3" fillId="0" borderId="63" xfId="63" applyFont="1" applyFill="1" applyBorder="1" applyAlignment="1" applyProtection="1">
      <alignment horizontal="left" wrapText="1"/>
      <protection/>
    </xf>
    <xf numFmtId="0" fontId="3" fillId="0" borderId="0" xfId="63" applyFont="1" applyFill="1" applyBorder="1" applyAlignment="1" applyProtection="1">
      <alignment horizontal="left" wrapText="1"/>
      <protection/>
    </xf>
    <xf numFmtId="0" fontId="3" fillId="0" borderId="14" xfId="63" applyFont="1" applyFill="1" applyBorder="1" applyAlignment="1" applyProtection="1">
      <alignment horizontal="left" wrapText="1"/>
      <protection/>
    </xf>
    <xf numFmtId="0" fontId="0" fillId="0" borderId="40"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9"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39" xfId="0" applyFill="1" applyBorder="1" applyAlignment="1" applyProtection="1">
      <alignment horizontal="center"/>
      <protection/>
    </xf>
    <xf numFmtId="0" fontId="0" fillId="0" borderId="65"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44" xfId="0" applyFill="1" applyBorder="1" applyAlignment="1" applyProtection="1">
      <alignment horizontal="center"/>
      <protection/>
    </xf>
    <xf numFmtId="0" fontId="0" fillId="0" borderId="43" xfId="0" applyFill="1" applyBorder="1" applyAlignment="1" applyProtection="1">
      <alignment horizontal="center"/>
      <protection/>
    </xf>
    <xf numFmtId="0" fontId="58" fillId="0" borderId="67" xfId="0" applyFont="1" applyFill="1" applyBorder="1" applyAlignment="1" applyProtection="1">
      <alignment horizontal="center" vertical="center"/>
      <protection/>
    </xf>
    <xf numFmtId="0" fontId="0" fillId="19" borderId="40" xfId="0" applyFill="1" applyBorder="1" applyAlignment="1" applyProtection="1">
      <alignment horizontal="center" vertical="center"/>
      <protection locked="0"/>
    </xf>
    <xf numFmtId="0" fontId="0" fillId="19" borderId="65" xfId="0" applyFill="1" applyBorder="1" applyAlignment="1" applyProtection="1">
      <alignment horizontal="center" vertical="center"/>
      <protection locked="0"/>
    </xf>
    <xf numFmtId="0" fontId="0" fillId="19" borderId="44" xfId="0" applyFill="1" applyBorder="1" applyAlignment="1" applyProtection="1">
      <alignment horizontal="center" vertical="center"/>
      <protection locked="0"/>
    </xf>
    <xf numFmtId="0" fontId="0" fillId="0" borderId="75" xfId="0" applyFill="1" applyBorder="1" applyAlignment="1" applyProtection="1">
      <alignment horizontal="center"/>
      <protection/>
    </xf>
    <xf numFmtId="0" fontId="0" fillId="0" borderId="11" xfId="0" applyFill="1" applyBorder="1" applyAlignment="1" applyProtection="1">
      <alignment horizontal="center"/>
      <protection/>
    </xf>
    <xf numFmtId="0" fontId="67" fillId="16" borderId="68" xfId="0" applyFont="1" applyFill="1" applyBorder="1" applyAlignment="1" applyProtection="1">
      <alignment horizontal="center"/>
      <protection/>
    </xf>
    <xf numFmtId="0" fontId="67" fillId="16" borderId="69" xfId="0" applyFont="1" applyFill="1" applyBorder="1" applyAlignment="1" applyProtection="1">
      <alignment horizontal="center"/>
      <protection/>
    </xf>
    <xf numFmtId="0" fontId="67" fillId="16" borderId="70" xfId="0" applyFont="1" applyFill="1" applyBorder="1" applyAlignment="1" applyProtection="1">
      <alignment horizontal="center"/>
      <protection/>
    </xf>
    <xf numFmtId="0" fontId="58" fillId="0" borderId="88" xfId="0" applyFont="1" applyFill="1" applyBorder="1" applyAlignment="1" applyProtection="1">
      <alignment horizontal="center" vertical="center"/>
      <protection/>
    </xf>
    <xf numFmtId="0" fontId="0" fillId="0" borderId="39"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0" borderId="43" xfId="0" applyFill="1" applyBorder="1" applyAlignment="1" applyProtection="1">
      <alignment horizontal="left" vertical="center" wrapText="1"/>
      <protection/>
    </xf>
    <xf numFmtId="0" fontId="0" fillId="0" borderId="64" xfId="0" applyFill="1" applyBorder="1" applyAlignment="1" applyProtection="1">
      <alignment horizontal="left" vertical="center" wrapText="1"/>
      <protection/>
    </xf>
    <xf numFmtId="0" fontId="58" fillId="0" borderId="39" xfId="0" applyFont="1" applyFill="1" applyBorder="1" applyAlignment="1" applyProtection="1">
      <alignment horizontal="left" vertical="center" wrapText="1"/>
      <protection/>
    </xf>
    <xf numFmtId="0" fontId="58" fillId="0" borderId="63" xfId="0" applyFont="1" applyFill="1" applyBorder="1" applyAlignment="1" applyProtection="1">
      <alignment horizontal="left" vertical="center" wrapText="1"/>
      <protection/>
    </xf>
    <xf numFmtId="0" fontId="58" fillId="0" borderId="0" xfId="0" applyFont="1" applyFill="1" applyBorder="1" applyAlignment="1" applyProtection="1">
      <alignment horizontal="left" vertical="center" wrapText="1"/>
      <protection/>
    </xf>
    <xf numFmtId="0" fontId="58" fillId="0" borderId="14" xfId="0" applyFont="1" applyFill="1" applyBorder="1" applyAlignment="1" applyProtection="1">
      <alignment horizontal="left" vertical="center" wrapText="1"/>
      <protection/>
    </xf>
    <xf numFmtId="0" fontId="51" fillId="0" borderId="0" xfId="63" applyFill="1" applyBorder="1" applyAlignment="1" applyProtection="1">
      <alignment horizontal="left" vertical="center" wrapText="1"/>
      <protection/>
    </xf>
    <xf numFmtId="0" fontId="51" fillId="0" borderId="14" xfId="63" applyFill="1" applyBorder="1" applyAlignment="1" applyProtection="1">
      <alignment horizontal="left" vertical="center" wrapText="1"/>
      <protection/>
    </xf>
    <xf numFmtId="0" fontId="51" fillId="0" borderId="65" xfId="63" applyFill="1" applyBorder="1" applyAlignment="1" applyProtection="1">
      <alignment horizontal="left" vertical="center" wrapText="1"/>
      <protection/>
    </xf>
    <xf numFmtId="0" fontId="51" fillId="0" borderId="65" xfId="63" applyBorder="1" applyAlignment="1" applyProtection="1">
      <alignment wrapText="1"/>
      <protection/>
    </xf>
    <xf numFmtId="0" fontId="51" fillId="0" borderId="0" xfId="63" applyBorder="1" applyAlignment="1" applyProtection="1">
      <alignment wrapText="1"/>
      <protection/>
    </xf>
    <xf numFmtId="0" fontId="51" fillId="0" borderId="14" xfId="63" applyBorder="1" applyAlignment="1" applyProtection="1">
      <alignment wrapText="1"/>
      <protection/>
    </xf>
    <xf numFmtId="0" fontId="51" fillId="0" borderId="77" xfId="63" applyBorder="1" applyAlignment="1" applyProtection="1">
      <alignment wrapText="1"/>
      <protection/>
    </xf>
    <xf numFmtId="0" fontId="51" fillId="0" borderId="16" xfId="63" applyBorder="1" applyAlignment="1" applyProtection="1">
      <alignment wrapText="1"/>
      <protection/>
    </xf>
    <xf numFmtId="0" fontId="51" fillId="0" borderId="17" xfId="63" applyBorder="1" applyAlignment="1" applyProtection="1">
      <alignment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5 2" xfId="49"/>
    <cellStyle name="Currency" xfId="50"/>
    <cellStyle name="Currency [0]" xfId="51"/>
    <cellStyle name="Currency 3" xfId="52"/>
    <cellStyle name="Currency 3 2" xfId="53"/>
    <cellStyle name="Currency 5" xfId="54"/>
    <cellStyle name="Currency 5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te" xfId="69"/>
    <cellStyle name="Output" xfId="70"/>
    <cellStyle name="Percent" xfId="71"/>
    <cellStyle name="Percent 2" xfId="72"/>
    <cellStyle name="Percent 3" xfId="73"/>
    <cellStyle name="Percent 3 2"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Including productivity increase</a:t>
            </a:r>
          </a:p>
        </c:rich>
      </c:tx>
      <c:layout>
        <c:manualLayout>
          <c:xMode val="factor"/>
          <c:yMode val="factor"/>
          <c:x val="-0.0025"/>
          <c:y val="-0.011"/>
        </c:manualLayout>
      </c:layout>
      <c:spPr>
        <a:noFill/>
        <a:ln w="3175">
          <a:noFill/>
        </a:ln>
      </c:spPr>
    </c:title>
    <c:plotArea>
      <c:layout>
        <c:manualLayout>
          <c:xMode val="edge"/>
          <c:yMode val="edge"/>
          <c:x val="0.04425"/>
          <c:y val="0.0825"/>
          <c:w val="0.7005"/>
          <c:h val="0.916"/>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Savings'!$F$78:$K$78</c:f>
              <c:numCache>
                <c:ptCount val="6"/>
                <c:pt idx="0">
                  <c:v>-10800</c:v>
                </c:pt>
                <c:pt idx="1">
                  <c:v>9035.108208</c:v>
                </c:pt>
                <c:pt idx="2">
                  <c:v>9035.81037216</c:v>
                </c:pt>
                <c:pt idx="3">
                  <c:v>9036.5265796032</c:v>
                </c:pt>
                <c:pt idx="4">
                  <c:v>9037.257111195264</c:v>
                </c:pt>
                <c:pt idx="5">
                  <c:v>9038.002253419168</c:v>
                </c:pt>
              </c:numCache>
            </c:numRef>
          </c:val>
        </c:ser>
        <c:axId val="57627515"/>
        <c:axId val="54800956"/>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Savings'!$F$79:$K$79</c:f>
              <c:numCache>
                <c:ptCount val="6"/>
                <c:pt idx="0">
                  <c:v>-10800</c:v>
                </c:pt>
                <c:pt idx="1">
                  <c:v>-1764.8917920000004</c:v>
                </c:pt>
                <c:pt idx="2">
                  <c:v>7270.91858016</c:v>
                </c:pt>
                <c:pt idx="3">
                  <c:v>16307.4451597632</c:v>
                </c:pt>
                <c:pt idx="4">
                  <c:v>25344.702270958463</c:v>
                </c:pt>
                <c:pt idx="5">
                  <c:v>34382.70452437763</c:v>
                </c:pt>
              </c:numCache>
            </c:numRef>
          </c:val>
          <c:smooth val="0"/>
        </c:ser>
        <c:axId val="57627515"/>
        <c:axId val="54800956"/>
      </c:lineChart>
      <c:catAx>
        <c:axId val="57627515"/>
        <c:scaling>
          <c:orientation val="minMax"/>
        </c:scaling>
        <c:axPos val="b"/>
        <c:delete val="0"/>
        <c:numFmt formatCode="General" sourceLinked="1"/>
        <c:majorTickMark val="out"/>
        <c:minorTickMark val="none"/>
        <c:tickLblPos val="nextTo"/>
        <c:spPr>
          <a:ln w="3175">
            <a:solidFill>
              <a:srgbClr val="808080"/>
            </a:solidFill>
          </a:ln>
        </c:spPr>
        <c:crossAx val="54800956"/>
        <c:crosses val="autoZero"/>
        <c:auto val="1"/>
        <c:lblOffset val="100"/>
        <c:tickLblSkip val="1"/>
        <c:noMultiLvlLbl val="0"/>
      </c:catAx>
      <c:valAx>
        <c:axId val="54800956"/>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26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27515"/>
        <c:crossesAt val="1"/>
        <c:crossBetween val="between"/>
        <c:dispUnits/>
      </c:valAx>
      <c:spPr>
        <a:solidFill>
          <a:srgbClr val="FFFFFF"/>
        </a:solidFill>
        <a:ln w="3175">
          <a:noFill/>
        </a:ln>
      </c:spPr>
    </c:plotArea>
    <c:legend>
      <c:legendPos val="r"/>
      <c:layout>
        <c:manualLayout>
          <c:xMode val="edge"/>
          <c:yMode val="edge"/>
          <c:x val="0.76425"/>
          <c:y val="0.4755"/>
          <c:w val="0.22925"/>
          <c:h val="0.12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0675"/>
          <c:w val="0.906"/>
          <c:h val="0.78825"/>
        </c:manualLayout>
      </c:layout>
      <c:barChart>
        <c:barDir val="col"/>
        <c:grouping val="clustered"/>
        <c:varyColors val="0"/>
        <c:ser>
          <c:idx val="0"/>
          <c:order val="0"/>
          <c:tx>
            <c:v>Current annual carbon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Savings'!$F$106:$K$106</c:f>
              <c:numCache>
                <c:ptCount val="6"/>
                <c:pt idx="0">
                  <c:v>0</c:v>
                </c:pt>
                <c:pt idx="1">
                  <c:v>561.5999999999999</c:v>
                </c:pt>
                <c:pt idx="2">
                  <c:v>561.5999999999999</c:v>
                </c:pt>
                <c:pt idx="3">
                  <c:v>561.5999999999999</c:v>
                </c:pt>
                <c:pt idx="4">
                  <c:v>561.5999999999999</c:v>
                </c:pt>
                <c:pt idx="5">
                  <c:v>561.5999999999999</c:v>
                </c:pt>
              </c:numCache>
            </c:numRef>
          </c:val>
        </c:ser>
        <c:ser>
          <c:idx val="1"/>
          <c:order val="1"/>
          <c:tx>
            <c:v>Annual carbon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Savings'!$F$107:$K$107</c:f>
              <c:numCache>
                <c:ptCount val="6"/>
                <c:pt idx="0">
                  <c:v>0</c:v>
                </c:pt>
                <c:pt idx="1">
                  <c:v>435.59999999999997</c:v>
                </c:pt>
                <c:pt idx="2">
                  <c:v>435.59999999999997</c:v>
                </c:pt>
                <c:pt idx="3">
                  <c:v>435.59999999999997</c:v>
                </c:pt>
                <c:pt idx="4">
                  <c:v>435.59999999999997</c:v>
                </c:pt>
                <c:pt idx="5">
                  <c:v>435.59999999999997</c:v>
                </c:pt>
              </c:numCache>
            </c:numRef>
          </c:val>
        </c:ser>
        <c:axId val="5292349"/>
        <c:axId val="8458366"/>
      </c:barChart>
      <c:lineChart>
        <c:grouping val="standard"/>
        <c:varyColors val="0"/>
        <c:ser>
          <c:idx val="2"/>
          <c:order val="2"/>
          <c:tx>
            <c:v>Cumulative carbon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Savings'!$F$108:$K$108</c:f>
              <c:numCache>
                <c:ptCount val="6"/>
                <c:pt idx="0">
                  <c:v>0</c:v>
                </c:pt>
                <c:pt idx="1">
                  <c:v>435.59999999999997</c:v>
                </c:pt>
                <c:pt idx="2">
                  <c:v>871.1999999999999</c:v>
                </c:pt>
                <c:pt idx="3">
                  <c:v>1306.8</c:v>
                </c:pt>
                <c:pt idx="4">
                  <c:v>1742.3999999999999</c:v>
                </c:pt>
                <c:pt idx="5">
                  <c:v>2178</c:v>
                </c:pt>
              </c:numCache>
            </c:numRef>
          </c:val>
          <c:smooth val="0"/>
        </c:ser>
        <c:axId val="5292349"/>
        <c:axId val="8458366"/>
      </c:lineChart>
      <c:catAx>
        <c:axId val="5292349"/>
        <c:scaling>
          <c:orientation val="minMax"/>
        </c:scaling>
        <c:axPos val="b"/>
        <c:delete val="0"/>
        <c:numFmt formatCode="General" sourceLinked="1"/>
        <c:majorTickMark val="out"/>
        <c:minorTickMark val="none"/>
        <c:tickLblPos val="nextTo"/>
        <c:spPr>
          <a:ln w="3175">
            <a:solidFill>
              <a:srgbClr val="808080"/>
            </a:solidFill>
          </a:ln>
        </c:spPr>
        <c:crossAx val="8458366"/>
        <c:crosses val="autoZero"/>
        <c:auto val="1"/>
        <c:lblOffset val="100"/>
        <c:tickLblSkip val="1"/>
        <c:noMultiLvlLbl val="0"/>
      </c:catAx>
      <c:valAx>
        <c:axId val="84583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Carbon emissions (kg)</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2349"/>
        <c:crossesAt val="1"/>
        <c:crossBetween val="between"/>
        <c:dispUnits/>
      </c:valAx>
      <c:spPr>
        <a:solidFill>
          <a:srgbClr val="FFFFFF"/>
        </a:solidFill>
        <a:ln w="3175">
          <a:noFill/>
        </a:ln>
      </c:spPr>
    </c:plotArea>
    <c:legend>
      <c:legendPos val="b"/>
      <c:layout>
        <c:manualLayout>
          <c:xMode val="edge"/>
          <c:yMode val="edge"/>
          <c:x val="0.16175"/>
          <c:y val="0.8165"/>
          <c:w val="0.6725"/>
          <c:h val="0.1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0675"/>
          <c:w val="0.903"/>
          <c:h val="0.7885"/>
        </c:manualLayout>
      </c:layout>
      <c:barChart>
        <c:barDir val="col"/>
        <c:grouping val="clustered"/>
        <c:varyColors val="0"/>
        <c:ser>
          <c:idx val="0"/>
          <c:order val="0"/>
          <c:tx>
            <c:v>Current annual SO2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Savings'!$F$110:$K$110</c:f>
              <c:numCache>
                <c:ptCount val="6"/>
                <c:pt idx="0">
                  <c:v>0</c:v>
                </c:pt>
                <c:pt idx="1">
                  <c:v>11.232000000000001</c:v>
                </c:pt>
                <c:pt idx="2">
                  <c:v>11.232000000000001</c:v>
                </c:pt>
                <c:pt idx="3">
                  <c:v>11.232000000000001</c:v>
                </c:pt>
                <c:pt idx="4">
                  <c:v>11.232000000000001</c:v>
                </c:pt>
                <c:pt idx="5">
                  <c:v>11.232000000000001</c:v>
                </c:pt>
              </c:numCache>
            </c:numRef>
          </c:val>
        </c:ser>
        <c:ser>
          <c:idx val="1"/>
          <c:order val="1"/>
          <c:tx>
            <c:v>Annual SO2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Savings'!$F$111:$K$111</c:f>
              <c:numCache>
                <c:ptCount val="6"/>
                <c:pt idx="0">
                  <c:v>0</c:v>
                </c:pt>
                <c:pt idx="1">
                  <c:v>8.712</c:v>
                </c:pt>
                <c:pt idx="2">
                  <c:v>8.712</c:v>
                </c:pt>
                <c:pt idx="3">
                  <c:v>8.712</c:v>
                </c:pt>
                <c:pt idx="4">
                  <c:v>8.712</c:v>
                </c:pt>
                <c:pt idx="5">
                  <c:v>8.712</c:v>
                </c:pt>
              </c:numCache>
            </c:numRef>
          </c:val>
        </c:ser>
        <c:axId val="12922879"/>
        <c:axId val="34680768"/>
      </c:barChart>
      <c:lineChart>
        <c:grouping val="standard"/>
        <c:varyColors val="0"/>
        <c:ser>
          <c:idx val="2"/>
          <c:order val="2"/>
          <c:tx>
            <c:v>Cumulative SO2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Savings'!$F$112:$K$112</c:f>
              <c:numCache>
                <c:ptCount val="6"/>
                <c:pt idx="0">
                  <c:v>0</c:v>
                </c:pt>
                <c:pt idx="1">
                  <c:v>8.712</c:v>
                </c:pt>
                <c:pt idx="2">
                  <c:v>17.424</c:v>
                </c:pt>
                <c:pt idx="3">
                  <c:v>26.136</c:v>
                </c:pt>
                <c:pt idx="4">
                  <c:v>34.848</c:v>
                </c:pt>
                <c:pt idx="5">
                  <c:v>43.56</c:v>
                </c:pt>
              </c:numCache>
            </c:numRef>
          </c:val>
          <c:smooth val="0"/>
        </c:ser>
        <c:axId val="12922879"/>
        <c:axId val="34680768"/>
      </c:lineChart>
      <c:catAx>
        <c:axId val="12922879"/>
        <c:scaling>
          <c:orientation val="minMax"/>
        </c:scaling>
        <c:axPos val="b"/>
        <c:delete val="0"/>
        <c:numFmt formatCode="General" sourceLinked="1"/>
        <c:majorTickMark val="out"/>
        <c:minorTickMark val="none"/>
        <c:tickLblPos val="nextTo"/>
        <c:spPr>
          <a:ln w="3175">
            <a:solidFill>
              <a:srgbClr val="808080"/>
            </a:solidFill>
          </a:ln>
        </c:spPr>
        <c:crossAx val="34680768"/>
        <c:crosses val="autoZero"/>
        <c:auto val="1"/>
        <c:lblOffset val="100"/>
        <c:tickLblSkip val="1"/>
        <c:noMultiLvlLbl val="0"/>
      </c:catAx>
      <c:valAx>
        <c:axId val="346807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SO2 emissions (kg)</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22879"/>
        <c:crossesAt val="1"/>
        <c:crossBetween val="between"/>
        <c:dispUnits/>
      </c:valAx>
      <c:spPr>
        <a:solidFill>
          <a:srgbClr val="FFFFFF"/>
        </a:solidFill>
        <a:ln w="3175">
          <a:noFill/>
        </a:ln>
      </c:spPr>
    </c:plotArea>
    <c:legend>
      <c:legendPos val="b"/>
      <c:layout>
        <c:manualLayout>
          <c:xMode val="edge"/>
          <c:yMode val="edge"/>
          <c:x val="0.16325"/>
          <c:y val="0.817"/>
          <c:w val="0.66925"/>
          <c:h val="0.1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0675"/>
          <c:w val="0.902"/>
          <c:h val="0.7885"/>
        </c:manualLayout>
      </c:layout>
      <c:barChart>
        <c:barDir val="col"/>
        <c:grouping val="clustered"/>
        <c:varyColors val="0"/>
        <c:ser>
          <c:idx val="0"/>
          <c:order val="0"/>
          <c:tx>
            <c:v>Current annual NOx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Savings'!$F$114:$K$114</c:f>
              <c:numCache>
                <c:ptCount val="6"/>
                <c:pt idx="0">
                  <c:v>0</c:v>
                </c:pt>
                <c:pt idx="1">
                  <c:v>5.054399999999999</c:v>
                </c:pt>
                <c:pt idx="2">
                  <c:v>5.054399999999999</c:v>
                </c:pt>
                <c:pt idx="3">
                  <c:v>5.054399999999999</c:v>
                </c:pt>
                <c:pt idx="4">
                  <c:v>5.054399999999999</c:v>
                </c:pt>
                <c:pt idx="5">
                  <c:v>5.054399999999999</c:v>
                </c:pt>
              </c:numCache>
            </c:numRef>
          </c:val>
        </c:ser>
        <c:ser>
          <c:idx val="1"/>
          <c:order val="1"/>
          <c:tx>
            <c:v>Annual NOx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Savings'!$F$115:$K$115</c:f>
              <c:numCache>
                <c:ptCount val="6"/>
                <c:pt idx="0">
                  <c:v>0</c:v>
                </c:pt>
                <c:pt idx="1">
                  <c:v>3.9204000000000003</c:v>
                </c:pt>
                <c:pt idx="2">
                  <c:v>3.9204000000000003</c:v>
                </c:pt>
                <c:pt idx="3">
                  <c:v>3.9204000000000003</c:v>
                </c:pt>
                <c:pt idx="4">
                  <c:v>3.9204000000000003</c:v>
                </c:pt>
                <c:pt idx="5">
                  <c:v>3.9204000000000003</c:v>
                </c:pt>
              </c:numCache>
            </c:numRef>
          </c:val>
        </c:ser>
        <c:axId val="39657409"/>
        <c:axId val="27594754"/>
      </c:barChart>
      <c:lineChart>
        <c:grouping val="standard"/>
        <c:varyColors val="0"/>
        <c:ser>
          <c:idx val="2"/>
          <c:order val="2"/>
          <c:tx>
            <c:v>Cumulative NOx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Savings'!$F$116:$K$116</c:f>
              <c:numCache>
                <c:ptCount val="6"/>
                <c:pt idx="0">
                  <c:v>0</c:v>
                </c:pt>
                <c:pt idx="1">
                  <c:v>3.9204000000000003</c:v>
                </c:pt>
                <c:pt idx="2">
                  <c:v>7.840800000000001</c:v>
                </c:pt>
                <c:pt idx="3">
                  <c:v>11.7612</c:v>
                </c:pt>
                <c:pt idx="4">
                  <c:v>15.681600000000001</c:v>
                </c:pt>
                <c:pt idx="5">
                  <c:v>19.602</c:v>
                </c:pt>
              </c:numCache>
            </c:numRef>
          </c:val>
          <c:smooth val="0"/>
        </c:ser>
        <c:axId val="39657409"/>
        <c:axId val="27594754"/>
      </c:lineChart>
      <c:catAx>
        <c:axId val="39657409"/>
        <c:scaling>
          <c:orientation val="minMax"/>
        </c:scaling>
        <c:axPos val="b"/>
        <c:delete val="0"/>
        <c:numFmt formatCode="General" sourceLinked="1"/>
        <c:majorTickMark val="out"/>
        <c:minorTickMark val="none"/>
        <c:tickLblPos val="nextTo"/>
        <c:spPr>
          <a:ln w="3175">
            <a:solidFill>
              <a:srgbClr val="808080"/>
            </a:solidFill>
          </a:ln>
        </c:spPr>
        <c:crossAx val="27594754"/>
        <c:crosses val="autoZero"/>
        <c:auto val="1"/>
        <c:lblOffset val="100"/>
        <c:tickLblSkip val="1"/>
        <c:noMultiLvlLbl val="0"/>
      </c:catAx>
      <c:valAx>
        <c:axId val="2759475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NOx emissions (kg)</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657409"/>
        <c:crossesAt val="1"/>
        <c:crossBetween val="between"/>
        <c:dispUnits/>
      </c:valAx>
      <c:spPr>
        <a:solidFill>
          <a:srgbClr val="FFFFFF"/>
        </a:solidFill>
        <a:ln w="3175">
          <a:noFill/>
        </a:ln>
      </c:spPr>
    </c:plotArea>
    <c:legend>
      <c:legendPos val="b"/>
      <c:layout>
        <c:manualLayout>
          <c:xMode val="edge"/>
          <c:yMode val="edge"/>
          <c:x val="0.16125"/>
          <c:y val="0.817"/>
          <c:w val="0.67125"/>
          <c:h val="0.1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Not including productivity increase</a:t>
            </a:r>
          </a:p>
        </c:rich>
      </c:tx>
      <c:layout>
        <c:manualLayout>
          <c:xMode val="factor"/>
          <c:yMode val="factor"/>
          <c:x val="-0.00125"/>
          <c:y val="-0.011"/>
        </c:manualLayout>
      </c:layout>
      <c:spPr>
        <a:noFill/>
        <a:ln w="3175">
          <a:noFill/>
        </a:ln>
      </c:spPr>
    </c:title>
    <c:plotArea>
      <c:layout>
        <c:manualLayout>
          <c:xMode val="edge"/>
          <c:yMode val="edge"/>
          <c:x val="0.04675"/>
          <c:y val="0.0825"/>
          <c:w val="0.68325"/>
          <c:h val="0.915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Savings'!$F$92:$K$92</c:f>
              <c:numCache>
                <c:ptCount val="6"/>
                <c:pt idx="0">
                  <c:v>-10800</c:v>
                </c:pt>
                <c:pt idx="1">
                  <c:v>35.10820800000002</c:v>
                </c:pt>
                <c:pt idx="2">
                  <c:v>35.810372160000014</c:v>
                </c:pt>
                <c:pt idx="3">
                  <c:v>36.52657960320002</c:v>
                </c:pt>
                <c:pt idx="4">
                  <c:v>37.257111195264</c:v>
                </c:pt>
                <c:pt idx="5">
                  <c:v>38.00225341916931</c:v>
                </c:pt>
              </c:numCache>
            </c:numRef>
          </c:val>
        </c:ser>
        <c:axId val="48828547"/>
        <c:axId val="19738948"/>
      </c:barChart>
      <c:scatterChart>
        <c:scatterStyle val="smoothMarker"/>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'5.Projected Savings'!$F$69:$K$69</c:f>
              <c:strCache>
                <c:ptCount val="6"/>
                <c:pt idx="0">
                  <c:v>Baseline</c:v>
                </c:pt>
                <c:pt idx="1">
                  <c:v>Year 1</c:v>
                </c:pt>
                <c:pt idx="2">
                  <c:v>Year 2</c:v>
                </c:pt>
                <c:pt idx="3">
                  <c:v>Year 3</c:v>
                </c:pt>
                <c:pt idx="4">
                  <c:v>Year 4</c:v>
                </c:pt>
                <c:pt idx="5">
                  <c:v>Year 5</c:v>
                </c:pt>
              </c:strCache>
            </c:strRef>
          </c:xVal>
          <c:yVal>
            <c:numRef>
              <c:f>'5.Projected Savings'!$F$93:$K$93</c:f>
              <c:numCache>
                <c:ptCount val="6"/>
                <c:pt idx="0">
                  <c:v>-10800</c:v>
                </c:pt>
                <c:pt idx="1">
                  <c:v>-10764.891792</c:v>
                </c:pt>
                <c:pt idx="2">
                  <c:v>-10729.08141984</c:v>
                </c:pt>
                <c:pt idx="3">
                  <c:v>-10692.5548402368</c:v>
                </c:pt>
                <c:pt idx="4">
                  <c:v>-10655.297729041537</c:v>
                </c:pt>
                <c:pt idx="5">
                  <c:v>-10617.295475622368</c:v>
                </c:pt>
              </c:numCache>
            </c:numRef>
          </c:yVal>
          <c:smooth val="1"/>
        </c:ser>
        <c:axId val="48828547"/>
        <c:axId val="19738948"/>
      </c:scatterChart>
      <c:catAx>
        <c:axId val="48828547"/>
        <c:scaling>
          <c:orientation val="minMax"/>
        </c:scaling>
        <c:axPos val="b"/>
        <c:delete val="0"/>
        <c:numFmt formatCode="General" sourceLinked="1"/>
        <c:majorTickMark val="out"/>
        <c:minorTickMark val="none"/>
        <c:tickLblPos val="nextTo"/>
        <c:spPr>
          <a:ln w="3175">
            <a:solidFill>
              <a:srgbClr val="808080"/>
            </a:solidFill>
          </a:ln>
        </c:spPr>
        <c:crossAx val="19738948"/>
        <c:crosses val="autoZero"/>
        <c:auto val="1"/>
        <c:lblOffset val="100"/>
        <c:tickLblSkip val="1"/>
        <c:noMultiLvlLbl val="0"/>
      </c:catAx>
      <c:valAx>
        <c:axId val="19738948"/>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28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28547"/>
        <c:crossesAt val="1"/>
        <c:crossBetween val="between"/>
        <c:dispUnits/>
      </c:valAx>
      <c:spPr>
        <a:solidFill>
          <a:srgbClr val="FFFFFF"/>
        </a:solidFill>
        <a:ln w="3175">
          <a:noFill/>
        </a:ln>
      </c:spPr>
    </c:plotArea>
    <c:legend>
      <c:legendPos val="r"/>
      <c:layout>
        <c:manualLayout>
          <c:xMode val="edge"/>
          <c:yMode val="edge"/>
          <c:x val="0.75175"/>
          <c:y val="0.474"/>
          <c:w val="0.2415"/>
          <c:h val="0.1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6</xdr:row>
      <xdr:rowOff>66675</xdr:rowOff>
    </xdr:from>
    <xdr:to>
      <xdr:col>18</xdr:col>
      <xdr:colOff>152400</xdr:colOff>
      <xdr:row>14</xdr:row>
      <xdr:rowOff>171450</xdr:rowOff>
    </xdr:to>
    <xdr:grpSp>
      <xdr:nvGrpSpPr>
        <xdr:cNvPr id="1" name="Group 5"/>
        <xdr:cNvGrpSpPr>
          <a:grpSpLocks/>
        </xdr:cNvGrpSpPr>
      </xdr:nvGrpSpPr>
      <xdr:grpSpPr>
        <a:xfrm>
          <a:off x="1619250" y="1314450"/>
          <a:ext cx="8763000" cy="1619250"/>
          <a:chOff x="588870" y="1007410"/>
          <a:chExt cx="7888380" cy="1620628"/>
        </a:xfrm>
        <a:solidFill>
          <a:srgbClr val="FFFFFF"/>
        </a:solidFill>
      </xdr:grpSpPr>
      <xdr:pic>
        <xdr:nvPicPr>
          <xdr:cNvPr id="2" name="Picture 2" descr="http://www.gearfuse.com/wp-content/uploads/andrew/4_mar07/thinkcentre_m52_tower_1.jpg"/>
          <xdr:cNvPicPr preferRelativeResize="1">
            <a:picLocks noChangeAspect="1"/>
          </xdr:cNvPicPr>
        </xdr:nvPicPr>
        <xdr:blipFill>
          <a:blip r:embed="rId1"/>
          <a:stretch>
            <a:fillRect/>
          </a:stretch>
        </xdr:blipFill>
        <xdr:spPr>
          <a:xfrm>
            <a:off x="588870" y="1083580"/>
            <a:ext cx="2088449" cy="1544458"/>
          </a:xfrm>
          <a:prstGeom prst="rect">
            <a:avLst/>
          </a:prstGeom>
          <a:noFill/>
          <a:ln w="9525" cmpd="sng">
            <a:noFill/>
          </a:ln>
        </xdr:spPr>
      </xdr:pic>
      <xdr:pic>
        <xdr:nvPicPr>
          <xdr:cNvPr id="3" name="Picture 3" descr="http://www.medimanage.com/Images/docking%20staion.jpg"/>
          <xdr:cNvPicPr preferRelativeResize="1">
            <a:picLocks noChangeAspect="1"/>
          </xdr:cNvPicPr>
        </xdr:nvPicPr>
        <xdr:blipFill>
          <a:blip r:embed="rId2"/>
          <a:stretch>
            <a:fillRect/>
          </a:stretch>
        </xdr:blipFill>
        <xdr:spPr>
          <a:xfrm>
            <a:off x="6873937" y="1007410"/>
            <a:ext cx="1603313" cy="1589431"/>
          </a:xfrm>
          <a:prstGeom prst="rect">
            <a:avLst/>
          </a:prstGeom>
          <a:noFill/>
          <a:ln w="9525" cmpd="sng">
            <a:noFill/>
          </a:ln>
        </xdr:spPr>
      </xdr:pic>
      <xdr:sp>
        <xdr:nvSpPr>
          <xdr:cNvPr id="4" name="Right Arrow 4"/>
          <xdr:cNvSpPr>
            <a:spLocks/>
          </xdr:cNvSpPr>
        </xdr:nvSpPr>
        <xdr:spPr>
          <a:xfrm>
            <a:off x="2981021" y="1512641"/>
            <a:ext cx="3670069" cy="648251"/>
          </a:xfrm>
          <a:prstGeom prst="rightArrow">
            <a:avLst>
              <a:gd name="adj" fmla="val 41166"/>
            </a:avLst>
          </a:prstGeom>
          <a:solidFill>
            <a:srgbClr val="B8FDB3"/>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grpSp>
    <xdr:clientData/>
  </xdr:twoCellAnchor>
  <xdr:twoCellAnchor editAs="oneCell">
    <xdr:from>
      <xdr:col>1</xdr:col>
      <xdr:colOff>85725</xdr:colOff>
      <xdr:row>81</xdr:row>
      <xdr:rowOff>28575</xdr:rowOff>
    </xdr:from>
    <xdr:to>
      <xdr:col>20</xdr:col>
      <xdr:colOff>57150</xdr:colOff>
      <xdr:row>110</xdr:row>
      <xdr:rowOff>57150</xdr:rowOff>
    </xdr:to>
    <xdr:pic>
      <xdr:nvPicPr>
        <xdr:cNvPr id="5" name="Picture 531"/>
        <xdr:cNvPicPr preferRelativeResize="1">
          <a:picLocks noChangeAspect="1"/>
        </xdr:cNvPicPr>
      </xdr:nvPicPr>
      <xdr:blipFill>
        <a:blip r:embed="rId3"/>
        <a:srcRect l="6175" t="23060" r="26855" b="17691"/>
        <a:stretch>
          <a:fillRect/>
        </a:stretch>
      </xdr:blipFill>
      <xdr:spPr>
        <a:xfrm>
          <a:off x="276225" y="15725775"/>
          <a:ext cx="11229975" cy="5553075"/>
        </a:xfrm>
        <a:prstGeom prst="rect">
          <a:avLst/>
        </a:prstGeom>
        <a:noFill/>
        <a:ln w="1"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17</xdr:row>
      <xdr:rowOff>104775</xdr:rowOff>
    </xdr:from>
    <xdr:to>
      <xdr:col>14</xdr:col>
      <xdr:colOff>638175</xdr:colOff>
      <xdr:row>53</xdr:row>
      <xdr:rowOff>161925</xdr:rowOff>
    </xdr:to>
    <xdr:grpSp>
      <xdr:nvGrpSpPr>
        <xdr:cNvPr id="1" name="Group 11"/>
        <xdr:cNvGrpSpPr>
          <a:grpSpLocks/>
        </xdr:cNvGrpSpPr>
      </xdr:nvGrpSpPr>
      <xdr:grpSpPr>
        <a:xfrm>
          <a:off x="400050" y="3943350"/>
          <a:ext cx="14468475" cy="7200900"/>
          <a:chOff x="1257299" y="3253751"/>
          <a:chExt cx="12573002" cy="7204699"/>
        </a:xfrm>
        <a:solidFill>
          <a:srgbClr val="FFFFFF"/>
        </a:solidFill>
      </xdr:grpSpPr>
      <xdr:graphicFrame>
        <xdr:nvGraphicFramePr>
          <xdr:cNvPr id="2" name="Chart 6"/>
          <xdr:cNvGraphicFramePr/>
        </xdr:nvGraphicFramePr>
        <xdr:xfrm>
          <a:off x="1266729" y="3253751"/>
          <a:ext cx="6437377" cy="3575332"/>
        </xdr:xfrm>
        <a:graphic>
          <a:graphicData uri="http://schemas.openxmlformats.org/drawingml/2006/chart">
            <c:chart xmlns:c="http://schemas.openxmlformats.org/drawingml/2006/chart" r:id="rId1"/>
          </a:graphicData>
        </a:graphic>
      </xdr:graphicFrame>
      <xdr:grpSp>
        <xdr:nvGrpSpPr>
          <xdr:cNvPr id="3" name="Group 10"/>
          <xdr:cNvGrpSpPr>
            <a:grpSpLocks/>
          </xdr:cNvGrpSpPr>
        </xdr:nvGrpSpPr>
        <xdr:grpSpPr>
          <a:xfrm>
            <a:off x="1257299" y="6886720"/>
            <a:ext cx="12573002" cy="3571730"/>
            <a:chOff x="1257299" y="6886574"/>
            <a:chExt cx="12573002" cy="3571876"/>
          </a:xfrm>
          <a:solidFill>
            <a:srgbClr val="FFFFFF"/>
          </a:solidFill>
        </xdr:grpSpPr>
        <xdr:graphicFrame>
          <xdr:nvGraphicFramePr>
            <xdr:cNvPr id="4" name="Chart 7"/>
            <xdr:cNvGraphicFramePr/>
          </xdr:nvGraphicFramePr>
          <xdr:xfrm>
            <a:off x="1257299" y="6886574"/>
            <a:ext cx="4372261" cy="3571876"/>
          </xdr:xfrm>
          <a:graphic>
            <a:graphicData uri="http://schemas.openxmlformats.org/drawingml/2006/chart">
              <c:chart xmlns:c="http://schemas.openxmlformats.org/drawingml/2006/chart" r:id="rId2"/>
            </a:graphicData>
          </a:graphic>
        </xdr:graphicFrame>
        <xdr:graphicFrame>
          <xdr:nvGraphicFramePr>
            <xdr:cNvPr id="5" name="Chart 8"/>
            <xdr:cNvGraphicFramePr/>
          </xdr:nvGraphicFramePr>
          <xdr:xfrm>
            <a:off x="5494401" y="6886574"/>
            <a:ext cx="4227672" cy="3571876"/>
          </xdr:xfrm>
          <a:graphic>
            <a:graphicData uri="http://schemas.openxmlformats.org/drawingml/2006/chart">
              <c:chart xmlns:c="http://schemas.openxmlformats.org/drawingml/2006/chart" r:id="rId3"/>
            </a:graphicData>
          </a:graphic>
        </xdr:graphicFrame>
        <xdr:graphicFrame>
          <xdr:nvGraphicFramePr>
            <xdr:cNvPr id="6" name="Chart 9"/>
            <xdr:cNvGraphicFramePr/>
          </xdr:nvGraphicFramePr>
          <xdr:xfrm>
            <a:off x="9602629" y="6886574"/>
            <a:ext cx="4227672" cy="3571876"/>
          </xdr:xfrm>
          <a:graphic>
            <a:graphicData uri="http://schemas.openxmlformats.org/drawingml/2006/chart">
              <c:chart xmlns:c="http://schemas.openxmlformats.org/drawingml/2006/chart" r:id="rId4"/>
            </a:graphicData>
          </a:graphic>
        </xdr:graphicFrame>
      </xdr:grpSp>
    </xdr:grpSp>
    <xdr:clientData/>
  </xdr:twoCellAnchor>
  <xdr:twoCellAnchor>
    <xdr:from>
      <xdr:col>6</xdr:col>
      <xdr:colOff>57150</xdr:colOff>
      <xdr:row>17</xdr:row>
      <xdr:rowOff>114300</xdr:rowOff>
    </xdr:from>
    <xdr:to>
      <xdr:col>14</xdr:col>
      <xdr:colOff>628650</xdr:colOff>
      <xdr:row>35</xdr:row>
      <xdr:rowOff>9525</xdr:rowOff>
    </xdr:to>
    <xdr:graphicFrame>
      <xdr:nvGraphicFramePr>
        <xdr:cNvPr id="7" name="Chart 7"/>
        <xdr:cNvGraphicFramePr/>
      </xdr:nvGraphicFramePr>
      <xdr:xfrm>
        <a:off x="7829550" y="3952875"/>
        <a:ext cx="7029450" cy="3562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a%20-%20Energy%20star%20monitors%20-%20v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20-%20Energy%20star%20monitors%20-%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Inputs"/>
      <sheetName val="4.Executive Summary"/>
      <sheetName val="5.Projected Savings"/>
      <sheetName val="6.Assumptions &amp; Referen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Home"/>
      <sheetName val="2.Introduction"/>
      <sheetName val="3.Input Page"/>
      <sheetName val="4.Executive Summary"/>
      <sheetName val="Projected Savings"/>
      <sheetName val="5.Projected Savings"/>
      <sheetName val="6.Assumptions &amp; 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picture_references"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xpliantion_IT_cost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hyperlink" Target="http://www.dell.com/home/desktops#subcats=inspndt&amp;navla=&amp;a=" TargetMode="External" /><Relationship Id="rId22" Type="http://schemas.openxmlformats.org/officeDocument/2006/relationships/hyperlink" Target="http://www.medimanage.com/Images/docking%20staion.jpg" TargetMode="External" /><Relationship Id="rId23" Type="http://schemas.openxmlformats.org/officeDocument/2006/relationships/hyperlink" Target="http://www.bank-banque-canada.ca/en/rates/tbill.html" TargetMode="External" /><Relationship Id="rId24" Type="http://schemas.openxmlformats.org/officeDocument/2006/relationships/hyperlink" Target="http://www.bank-banque-canada.ca/en/rates/bonds.html" TargetMode="External" /><Relationship Id="rId2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46"/>
  <sheetViews>
    <sheetView workbookViewId="0" topLeftCell="A1">
      <selection activeCell="P13" sqref="P13"/>
    </sheetView>
  </sheetViews>
  <sheetFormatPr defaultColWidth="9.140625" defaultRowHeight="15"/>
  <cols>
    <col min="1" max="2" width="3.00390625" style="84" customWidth="1"/>
    <col min="3" max="11" width="11.00390625" style="84" customWidth="1"/>
    <col min="12" max="12" width="3.00390625" style="84" customWidth="1"/>
    <col min="13" max="16384" width="9.140625" style="84" customWidth="1"/>
  </cols>
  <sheetData>
    <row r="1" ht="15.75" thickBot="1"/>
    <row r="2" spans="2:12" ht="15.75" thickBot="1">
      <c r="B2" s="1"/>
      <c r="C2" s="2"/>
      <c r="D2" s="2"/>
      <c r="E2" s="2"/>
      <c r="F2" s="2"/>
      <c r="G2" s="2"/>
      <c r="H2" s="2"/>
      <c r="I2" s="2"/>
      <c r="J2" s="2"/>
      <c r="K2" s="2"/>
      <c r="L2" s="3"/>
    </row>
    <row r="3" spans="2:12" ht="23.25">
      <c r="B3" s="4"/>
      <c r="C3" s="314" t="s">
        <v>204</v>
      </c>
      <c r="D3" s="315"/>
      <c r="E3" s="315"/>
      <c r="F3" s="315"/>
      <c r="G3" s="315"/>
      <c r="H3" s="315"/>
      <c r="I3" s="315"/>
      <c r="J3" s="315"/>
      <c r="K3" s="316"/>
      <c r="L3" s="5"/>
    </row>
    <row r="4" spans="2:12" ht="19.5" thickBot="1">
      <c r="B4" s="4"/>
      <c r="C4" s="317" t="s">
        <v>221</v>
      </c>
      <c r="D4" s="318"/>
      <c r="E4" s="318"/>
      <c r="F4" s="318"/>
      <c r="G4" s="318"/>
      <c r="H4" s="318"/>
      <c r="I4" s="318"/>
      <c r="J4" s="318"/>
      <c r="K4" s="319"/>
      <c r="L4" s="5"/>
    </row>
    <row r="5" spans="2:12" ht="15">
      <c r="B5" s="4"/>
      <c r="C5" s="6"/>
      <c r="D5" s="6"/>
      <c r="E5" s="6"/>
      <c r="F5" s="6"/>
      <c r="G5" s="6"/>
      <c r="H5" s="6"/>
      <c r="I5" s="6"/>
      <c r="J5" s="6"/>
      <c r="K5" s="6"/>
      <c r="L5" s="5"/>
    </row>
    <row r="6" spans="2:12" ht="15">
      <c r="B6" s="7"/>
      <c r="C6" s="320" t="s">
        <v>205</v>
      </c>
      <c r="D6" s="321"/>
      <c r="E6" s="321"/>
      <c r="F6" s="321"/>
      <c r="G6" s="321"/>
      <c r="H6" s="322">
        <f ca="1">TODAY()</f>
        <v>40708</v>
      </c>
      <c r="I6" s="321"/>
      <c r="J6" s="321"/>
      <c r="K6" s="323"/>
      <c r="L6" s="8"/>
    </row>
    <row r="7" spans="2:12" ht="15.75" thickBot="1">
      <c r="B7" s="7"/>
      <c r="C7" s="9"/>
      <c r="D7" s="9"/>
      <c r="E7" s="9"/>
      <c r="F7" s="9"/>
      <c r="G7" s="9"/>
      <c r="H7" s="9"/>
      <c r="I7" s="9"/>
      <c r="J7" s="9"/>
      <c r="K7" s="9"/>
      <c r="L7" s="8"/>
    </row>
    <row r="8" spans="2:12" ht="15">
      <c r="B8" s="7"/>
      <c r="C8" s="324" t="s">
        <v>206</v>
      </c>
      <c r="D8" s="325"/>
      <c r="E8" s="325"/>
      <c r="F8" s="325"/>
      <c r="G8" s="325"/>
      <c r="H8" s="325"/>
      <c r="I8" s="325"/>
      <c r="J8" s="325"/>
      <c r="K8" s="326"/>
      <c r="L8" s="8"/>
    </row>
    <row r="9" spans="2:12" ht="15">
      <c r="B9" s="7"/>
      <c r="C9" s="327"/>
      <c r="D9" s="328"/>
      <c r="E9" s="328"/>
      <c r="F9" s="328"/>
      <c r="G9" s="328"/>
      <c r="H9" s="328"/>
      <c r="I9" s="328"/>
      <c r="J9" s="328"/>
      <c r="K9" s="329"/>
      <c r="L9" s="8"/>
    </row>
    <row r="10" spans="2:12" ht="15.75" thickBot="1">
      <c r="B10" s="7"/>
      <c r="C10" s="330" t="s">
        <v>207</v>
      </c>
      <c r="D10" s="331"/>
      <c r="E10" s="331"/>
      <c r="F10" s="331"/>
      <c r="G10" s="331"/>
      <c r="H10" s="332">
        <v>40703</v>
      </c>
      <c r="I10" s="333"/>
      <c r="J10" s="333"/>
      <c r="K10" s="334"/>
      <c r="L10" s="8"/>
    </row>
    <row r="11" spans="2:12" ht="15.75" thickBot="1">
      <c r="B11" s="7"/>
      <c r="C11" s="10"/>
      <c r="D11" s="10"/>
      <c r="E11" s="10"/>
      <c r="F11" s="10"/>
      <c r="G11" s="10"/>
      <c r="H11" s="11"/>
      <c r="I11" s="12"/>
      <c r="J11" s="12"/>
      <c r="K11" s="12"/>
      <c r="L11" s="8"/>
    </row>
    <row r="12" spans="2:12" ht="15">
      <c r="B12" s="7"/>
      <c r="C12" s="284" t="s">
        <v>208</v>
      </c>
      <c r="D12" s="285"/>
      <c r="E12" s="285"/>
      <c r="F12" s="285"/>
      <c r="G12" s="285"/>
      <c r="H12" s="285"/>
      <c r="I12" s="285"/>
      <c r="J12" s="285"/>
      <c r="K12" s="286"/>
      <c r="L12" s="8"/>
    </row>
    <row r="13" spans="2:12" ht="15">
      <c r="B13" s="7"/>
      <c r="C13" s="287"/>
      <c r="D13" s="288"/>
      <c r="E13" s="288"/>
      <c r="F13" s="288"/>
      <c r="G13" s="288"/>
      <c r="H13" s="288"/>
      <c r="I13" s="288"/>
      <c r="J13" s="288"/>
      <c r="K13" s="289"/>
      <c r="L13" s="8"/>
    </row>
    <row r="14" spans="2:12" ht="15">
      <c r="B14" s="7"/>
      <c r="C14" s="287"/>
      <c r="D14" s="288"/>
      <c r="E14" s="288"/>
      <c r="F14" s="288"/>
      <c r="G14" s="288"/>
      <c r="H14" s="288"/>
      <c r="I14" s="288"/>
      <c r="J14" s="288"/>
      <c r="K14" s="289"/>
      <c r="L14" s="8"/>
    </row>
    <row r="15" spans="2:12" ht="15">
      <c r="B15" s="7"/>
      <c r="C15" s="287"/>
      <c r="D15" s="288"/>
      <c r="E15" s="288"/>
      <c r="F15" s="288"/>
      <c r="G15" s="288"/>
      <c r="H15" s="288"/>
      <c r="I15" s="288"/>
      <c r="J15" s="288"/>
      <c r="K15" s="289"/>
      <c r="L15" s="8"/>
    </row>
    <row r="16" spans="2:12" ht="15">
      <c r="B16" s="7"/>
      <c r="C16" s="287"/>
      <c r="D16" s="288"/>
      <c r="E16" s="288"/>
      <c r="F16" s="288"/>
      <c r="G16" s="288"/>
      <c r="H16" s="288"/>
      <c r="I16" s="288"/>
      <c r="J16" s="288"/>
      <c r="K16" s="289"/>
      <c r="L16" s="8"/>
    </row>
    <row r="17" spans="2:12" ht="15">
      <c r="B17" s="7"/>
      <c r="C17" s="287"/>
      <c r="D17" s="288"/>
      <c r="E17" s="288"/>
      <c r="F17" s="288"/>
      <c r="G17" s="288"/>
      <c r="H17" s="288"/>
      <c r="I17" s="288"/>
      <c r="J17" s="288"/>
      <c r="K17" s="289"/>
      <c r="L17" s="8"/>
    </row>
    <row r="18" spans="2:12" ht="15">
      <c r="B18" s="7"/>
      <c r="C18" s="287"/>
      <c r="D18" s="288"/>
      <c r="E18" s="288"/>
      <c r="F18" s="288"/>
      <c r="G18" s="288"/>
      <c r="H18" s="288"/>
      <c r="I18" s="288"/>
      <c r="J18" s="288"/>
      <c r="K18" s="289"/>
      <c r="L18" s="8"/>
    </row>
    <row r="19" spans="2:12" ht="15">
      <c r="B19" s="7"/>
      <c r="C19" s="287"/>
      <c r="D19" s="288"/>
      <c r="E19" s="288"/>
      <c r="F19" s="288"/>
      <c r="G19" s="288"/>
      <c r="H19" s="288"/>
      <c r="I19" s="288"/>
      <c r="J19" s="288"/>
      <c r="K19" s="289"/>
      <c r="L19" s="8"/>
    </row>
    <row r="20" spans="2:12" ht="15">
      <c r="B20" s="7"/>
      <c r="C20" s="287"/>
      <c r="D20" s="288"/>
      <c r="E20" s="288"/>
      <c r="F20" s="288"/>
      <c r="G20" s="288"/>
      <c r="H20" s="288"/>
      <c r="I20" s="288"/>
      <c r="J20" s="288"/>
      <c r="K20" s="289"/>
      <c r="L20" s="8"/>
    </row>
    <row r="21" spans="2:12" ht="15">
      <c r="B21" s="7"/>
      <c r="C21" s="287"/>
      <c r="D21" s="288"/>
      <c r="E21" s="288"/>
      <c r="F21" s="288"/>
      <c r="G21" s="288"/>
      <c r="H21" s="288"/>
      <c r="I21" s="288"/>
      <c r="J21" s="288"/>
      <c r="K21" s="289"/>
      <c r="L21" s="8"/>
    </row>
    <row r="22" spans="2:12" ht="15.75" thickBot="1">
      <c r="B22" s="7"/>
      <c r="C22" s="290"/>
      <c r="D22" s="291"/>
      <c r="E22" s="291"/>
      <c r="F22" s="291"/>
      <c r="G22" s="291"/>
      <c r="H22" s="291"/>
      <c r="I22" s="291"/>
      <c r="J22" s="291"/>
      <c r="K22" s="292"/>
      <c r="L22" s="8"/>
    </row>
    <row r="23" spans="2:12" ht="15.75" thickBot="1">
      <c r="B23" s="7"/>
      <c r="C23" s="10"/>
      <c r="D23" s="10"/>
      <c r="E23" s="10"/>
      <c r="F23" s="10"/>
      <c r="G23" s="10"/>
      <c r="H23" s="11"/>
      <c r="I23" s="12"/>
      <c r="J23" s="12"/>
      <c r="K23" s="12"/>
      <c r="L23" s="8"/>
    </row>
    <row r="24" spans="2:12" ht="15.75">
      <c r="B24" s="7"/>
      <c r="C24" s="10"/>
      <c r="D24" s="293" t="s">
        <v>209</v>
      </c>
      <c r="E24" s="294"/>
      <c r="F24" s="299" t="s">
        <v>210</v>
      </c>
      <c r="G24" s="300"/>
      <c r="H24" s="301"/>
      <c r="I24" s="302" t="s">
        <v>211</v>
      </c>
      <c r="J24" s="303"/>
      <c r="K24" s="13"/>
      <c r="L24" s="8"/>
    </row>
    <row r="25" spans="2:12" ht="15">
      <c r="B25" s="7"/>
      <c r="C25" s="10"/>
      <c r="D25" s="295"/>
      <c r="E25" s="296"/>
      <c r="F25" s="304" t="s">
        <v>212</v>
      </c>
      <c r="G25" s="305"/>
      <c r="H25" s="306"/>
      <c r="I25" s="307" t="s">
        <v>213</v>
      </c>
      <c r="J25" s="308"/>
      <c r="K25" s="13"/>
      <c r="L25" s="8"/>
    </row>
    <row r="26" spans="2:12" ht="15.75" thickBot="1">
      <c r="B26" s="7"/>
      <c r="C26" s="10"/>
      <c r="D26" s="297"/>
      <c r="E26" s="298"/>
      <c r="F26" s="309" t="s">
        <v>214</v>
      </c>
      <c r="G26" s="310"/>
      <c r="H26" s="311"/>
      <c r="I26" s="312" t="s">
        <v>215</v>
      </c>
      <c r="J26" s="313"/>
      <c r="K26" s="13"/>
      <c r="L26" s="8"/>
    </row>
    <row r="27" spans="2:12" ht="15.75" thickBot="1">
      <c r="B27" s="7"/>
      <c r="C27" s="14"/>
      <c r="D27" s="9"/>
      <c r="E27" s="9"/>
      <c r="F27" s="9"/>
      <c r="G27" s="9"/>
      <c r="H27" s="9"/>
      <c r="I27" s="9"/>
      <c r="J27" s="9"/>
      <c r="K27" s="9"/>
      <c r="L27" s="8"/>
    </row>
    <row r="28" spans="2:12" ht="19.5" thickBot="1">
      <c r="B28" s="7"/>
      <c r="C28" s="248" t="s">
        <v>216</v>
      </c>
      <c r="D28" s="249"/>
      <c r="E28" s="249"/>
      <c r="F28" s="249"/>
      <c r="G28" s="249"/>
      <c r="H28" s="249"/>
      <c r="I28" s="249"/>
      <c r="J28" s="249"/>
      <c r="K28" s="250"/>
      <c r="L28" s="8"/>
    </row>
    <row r="29" spans="2:12" ht="15" customHeight="1">
      <c r="B29" s="7"/>
      <c r="C29" s="251" t="s">
        <v>217</v>
      </c>
      <c r="D29" s="252"/>
      <c r="E29" s="252"/>
      <c r="F29" s="252"/>
      <c r="G29" s="252"/>
      <c r="H29" s="252"/>
      <c r="I29" s="252"/>
      <c r="J29" s="252"/>
      <c r="K29" s="253"/>
      <c r="L29" s="8"/>
    </row>
    <row r="30" spans="2:12" ht="15">
      <c r="B30" s="7"/>
      <c r="C30" s="254"/>
      <c r="D30" s="255"/>
      <c r="E30" s="255"/>
      <c r="F30" s="255"/>
      <c r="G30" s="255"/>
      <c r="H30" s="255"/>
      <c r="I30" s="255"/>
      <c r="J30" s="255"/>
      <c r="K30" s="256"/>
      <c r="L30" s="8"/>
    </row>
    <row r="31" spans="2:12" ht="15">
      <c r="B31" s="7"/>
      <c r="C31" s="254"/>
      <c r="D31" s="255"/>
      <c r="E31" s="255"/>
      <c r="F31" s="255"/>
      <c r="G31" s="255"/>
      <c r="H31" s="255"/>
      <c r="I31" s="255"/>
      <c r="J31" s="255"/>
      <c r="K31" s="256"/>
      <c r="L31" s="8"/>
    </row>
    <row r="32" spans="2:12" ht="15">
      <c r="B32" s="7"/>
      <c r="C32" s="257"/>
      <c r="D32" s="258"/>
      <c r="E32" s="258"/>
      <c r="F32" s="258"/>
      <c r="G32" s="258"/>
      <c r="H32" s="258"/>
      <c r="I32" s="258"/>
      <c r="J32" s="258"/>
      <c r="K32" s="259"/>
      <c r="L32" s="8"/>
    </row>
    <row r="33" spans="2:12" ht="15" customHeight="1">
      <c r="B33" s="7"/>
      <c r="C33" s="260" t="s">
        <v>218</v>
      </c>
      <c r="D33" s="261"/>
      <c r="E33" s="261"/>
      <c r="F33" s="261"/>
      <c r="G33" s="261"/>
      <c r="H33" s="261"/>
      <c r="I33" s="261"/>
      <c r="J33" s="261"/>
      <c r="K33" s="262"/>
      <c r="L33" s="8"/>
    </row>
    <row r="34" spans="2:12" ht="15">
      <c r="B34" s="7"/>
      <c r="C34" s="263"/>
      <c r="D34" s="264"/>
      <c r="E34" s="264"/>
      <c r="F34" s="264"/>
      <c r="G34" s="264"/>
      <c r="H34" s="264"/>
      <c r="I34" s="264"/>
      <c r="J34" s="264"/>
      <c r="K34" s="265"/>
      <c r="L34" s="8"/>
    </row>
    <row r="35" spans="2:12" ht="15">
      <c r="B35" s="7"/>
      <c r="C35" s="263"/>
      <c r="D35" s="264"/>
      <c r="E35" s="264"/>
      <c r="F35" s="264"/>
      <c r="G35" s="264"/>
      <c r="H35" s="264"/>
      <c r="I35" s="264"/>
      <c r="J35" s="264"/>
      <c r="K35" s="265"/>
      <c r="L35" s="8"/>
    </row>
    <row r="36" spans="2:12" ht="15">
      <c r="B36" s="7"/>
      <c r="C36" s="263"/>
      <c r="D36" s="264"/>
      <c r="E36" s="264"/>
      <c r="F36" s="264"/>
      <c r="G36" s="264"/>
      <c r="H36" s="264"/>
      <c r="I36" s="264"/>
      <c r="J36" s="264"/>
      <c r="K36" s="265"/>
      <c r="L36" s="8"/>
    </row>
    <row r="37" spans="2:12" ht="15">
      <c r="B37" s="7"/>
      <c r="C37" s="263"/>
      <c r="D37" s="264"/>
      <c r="E37" s="264"/>
      <c r="F37" s="264"/>
      <c r="G37" s="264"/>
      <c r="H37" s="264"/>
      <c r="I37" s="264"/>
      <c r="J37" s="264"/>
      <c r="K37" s="265"/>
      <c r="L37" s="8"/>
    </row>
    <row r="38" spans="2:12" ht="15">
      <c r="B38" s="7"/>
      <c r="C38" s="263"/>
      <c r="D38" s="264"/>
      <c r="E38" s="264"/>
      <c r="F38" s="264"/>
      <c r="G38" s="264"/>
      <c r="H38" s="264"/>
      <c r="I38" s="264"/>
      <c r="J38" s="264"/>
      <c r="K38" s="265"/>
      <c r="L38" s="8"/>
    </row>
    <row r="39" spans="2:12" ht="15">
      <c r="B39" s="7"/>
      <c r="C39" s="266"/>
      <c r="D39" s="267"/>
      <c r="E39" s="267"/>
      <c r="F39" s="267"/>
      <c r="G39" s="267"/>
      <c r="H39" s="267"/>
      <c r="I39" s="267"/>
      <c r="J39" s="267"/>
      <c r="K39" s="268"/>
      <c r="L39" s="8"/>
    </row>
    <row r="40" spans="2:12" ht="15" customHeight="1">
      <c r="B40" s="7"/>
      <c r="C40" s="269" t="s">
        <v>192</v>
      </c>
      <c r="D40" s="270"/>
      <c r="E40" s="270"/>
      <c r="F40" s="270"/>
      <c r="G40" s="270"/>
      <c r="H40" s="270"/>
      <c r="I40" s="270"/>
      <c r="J40" s="270"/>
      <c r="K40" s="271"/>
      <c r="L40" s="8"/>
    </row>
    <row r="41" spans="2:12" ht="15">
      <c r="B41" s="7"/>
      <c r="C41" s="272"/>
      <c r="D41" s="273"/>
      <c r="E41" s="273"/>
      <c r="F41" s="273"/>
      <c r="G41" s="273"/>
      <c r="H41" s="273"/>
      <c r="I41" s="273"/>
      <c r="J41" s="273"/>
      <c r="K41" s="274"/>
      <c r="L41" s="8"/>
    </row>
    <row r="42" spans="2:12" ht="15">
      <c r="B42" s="7"/>
      <c r="C42" s="272"/>
      <c r="D42" s="273"/>
      <c r="E42" s="273"/>
      <c r="F42" s="273"/>
      <c r="G42" s="273"/>
      <c r="H42" s="273"/>
      <c r="I42" s="273"/>
      <c r="J42" s="273"/>
      <c r="K42" s="274"/>
      <c r="L42" s="8"/>
    </row>
    <row r="43" spans="2:12" ht="15">
      <c r="B43" s="7"/>
      <c r="C43" s="275"/>
      <c r="D43" s="276"/>
      <c r="E43" s="276"/>
      <c r="F43" s="276"/>
      <c r="G43" s="276"/>
      <c r="H43" s="276"/>
      <c r="I43" s="276"/>
      <c r="J43" s="276"/>
      <c r="K43" s="277"/>
      <c r="L43" s="8"/>
    </row>
    <row r="44" spans="2:12" ht="15" customHeight="1">
      <c r="B44" s="15"/>
      <c r="C44" s="278" t="s">
        <v>219</v>
      </c>
      <c r="D44" s="279"/>
      <c r="E44" s="279"/>
      <c r="F44" s="279"/>
      <c r="G44" s="279"/>
      <c r="H44" s="279"/>
      <c r="I44" s="279"/>
      <c r="J44" s="279"/>
      <c r="K44" s="280"/>
      <c r="L44" s="5"/>
    </row>
    <row r="45" spans="2:12" ht="15.75" customHeight="1" thickBot="1">
      <c r="B45" s="15"/>
      <c r="C45" s="281" t="s">
        <v>220</v>
      </c>
      <c r="D45" s="282"/>
      <c r="E45" s="282"/>
      <c r="F45" s="282"/>
      <c r="G45" s="282"/>
      <c r="H45" s="282"/>
      <c r="I45" s="282"/>
      <c r="J45" s="282"/>
      <c r="K45" s="283"/>
      <c r="L45" s="5"/>
    </row>
    <row r="46" spans="2:12" ht="15.75" thickBot="1">
      <c r="B46" s="16"/>
      <c r="C46" s="17"/>
      <c r="D46" s="17"/>
      <c r="E46" s="17"/>
      <c r="F46" s="17"/>
      <c r="G46" s="17"/>
      <c r="H46" s="17"/>
      <c r="I46" s="17"/>
      <c r="J46" s="18"/>
      <c r="K46" s="18"/>
      <c r="L46" s="19"/>
    </row>
  </sheetData>
  <sheetProtection password="E7B2" sheet="1"/>
  <mergeCells count="21">
    <mergeCell ref="C3:K3"/>
    <mergeCell ref="C4:K4"/>
    <mergeCell ref="C6:G6"/>
    <mergeCell ref="H6:K6"/>
    <mergeCell ref="C8:K9"/>
    <mergeCell ref="C10:G10"/>
    <mergeCell ref="H10:K10"/>
    <mergeCell ref="C12:K22"/>
    <mergeCell ref="D24:E26"/>
    <mergeCell ref="F24:H24"/>
    <mergeCell ref="I24:J24"/>
    <mergeCell ref="F25:H25"/>
    <mergeCell ref="I25:J25"/>
    <mergeCell ref="F26:H26"/>
    <mergeCell ref="I26:J26"/>
    <mergeCell ref="C28:K28"/>
    <mergeCell ref="C29:K32"/>
    <mergeCell ref="C33:K39"/>
    <mergeCell ref="C40:K43"/>
    <mergeCell ref="C44:K44"/>
    <mergeCell ref="C45:K45"/>
  </mergeCells>
  <hyperlinks>
    <hyperlink ref="C8:K9" r:id="rId1" display="For the most recent version of this ECM, and links to other useful analysis tools, please click here to go to http://www.appropedia.org/Category:Queens_Green_IT_ECMs"/>
    <hyperlink ref="C44:K44" location="'6.Assumptions &amp; References'!A1" display="Please click here to view the complete list of Assumptions."/>
    <hyperlink ref="C45:K45" location="'2.Introduction'!A1" display="Start your analysis by proceeding to the Instructions."/>
  </hyperlinks>
  <printOptions/>
  <pageMargins left="0.7" right="0.7" top="0.75" bottom="0.75" header="0.3" footer="0.3"/>
  <pageSetup horizontalDpi="600" verticalDpi="600" orientation="portrait" scale="86" r:id="rId2"/>
  <headerFooter>
    <oddHeader>&amp;LECM010a - EnergyStar Monitors&amp;R&amp;A</oddHeader>
    <oddFooter>&amp;LLast modified by user: &amp;D&amp;RPage &amp;P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2:U144"/>
  <sheetViews>
    <sheetView workbookViewId="0" topLeftCell="A1">
      <selection activeCell="D40" sqref="D39:S40"/>
    </sheetView>
  </sheetViews>
  <sheetFormatPr defaultColWidth="9.140625" defaultRowHeight="15"/>
  <cols>
    <col min="1" max="2" width="2.8515625" style="85" customWidth="1"/>
    <col min="3" max="10" width="8.421875" style="85" customWidth="1"/>
    <col min="11" max="12" width="14.8515625" style="85" customWidth="1"/>
    <col min="13" max="19" width="8.421875" style="85" customWidth="1"/>
    <col min="20" max="20" width="9.8515625" style="85" bestFit="1" customWidth="1"/>
    <col min="21" max="21" width="2.8515625" style="85" customWidth="1"/>
    <col min="22" max="23" width="9.140625" style="85" customWidth="1"/>
    <col min="24" max="25" width="9.28125" style="85" bestFit="1" customWidth="1"/>
    <col min="26" max="29" width="10.421875" style="85" bestFit="1" customWidth="1"/>
    <col min="30" max="31" width="9.28125" style="85" bestFit="1" customWidth="1"/>
    <col min="32" max="33" width="9.8515625" style="85" bestFit="1" customWidth="1"/>
    <col min="34" max="16384" width="9.140625" style="85" customWidth="1"/>
  </cols>
  <sheetData>
    <row r="1" ht="15.75" thickBot="1"/>
    <row r="2" spans="2:21" ht="15">
      <c r="B2" s="86"/>
      <c r="C2" s="87"/>
      <c r="D2" s="87"/>
      <c r="E2" s="87"/>
      <c r="F2" s="87"/>
      <c r="G2" s="87"/>
      <c r="H2" s="87"/>
      <c r="I2" s="87"/>
      <c r="J2" s="87"/>
      <c r="K2" s="87"/>
      <c r="L2" s="87"/>
      <c r="M2" s="87"/>
      <c r="N2" s="87"/>
      <c r="O2" s="87"/>
      <c r="P2" s="87"/>
      <c r="Q2" s="87"/>
      <c r="R2" s="87"/>
      <c r="S2" s="87"/>
      <c r="T2" s="87"/>
      <c r="U2" s="88"/>
    </row>
    <row r="3" spans="2:21" ht="15">
      <c r="B3" s="89"/>
      <c r="C3" s="454" t="s">
        <v>222</v>
      </c>
      <c r="D3" s="455"/>
      <c r="E3" s="455"/>
      <c r="F3" s="456"/>
      <c r="G3" s="337" t="s">
        <v>230</v>
      </c>
      <c r="H3" s="338"/>
      <c r="I3" s="338"/>
      <c r="J3" s="338"/>
      <c r="K3" s="338"/>
      <c r="L3" s="338"/>
      <c r="M3" s="338"/>
      <c r="N3" s="338"/>
      <c r="O3" s="339"/>
      <c r="P3" s="335" t="s">
        <v>207</v>
      </c>
      <c r="Q3" s="336"/>
      <c r="R3" s="336"/>
      <c r="S3" s="336"/>
      <c r="T3" s="208">
        <f>'1.Home'!H10</f>
        <v>40703</v>
      </c>
      <c r="U3" s="90"/>
    </row>
    <row r="4" spans="2:21" ht="15.75" thickBot="1">
      <c r="B4" s="89"/>
      <c r="C4" s="91"/>
      <c r="D4" s="91"/>
      <c r="E4" s="91"/>
      <c r="F4" s="91"/>
      <c r="G4" s="91"/>
      <c r="H4" s="91"/>
      <c r="I4" s="91"/>
      <c r="J4" s="91"/>
      <c r="K4" s="91"/>
      <c r="L4" s="91"/>
      <c r="M4" s="91"/>
      <c r="N4" s="91"/>
      <c r="O4" s="91"/>
      <c r="P4" s="91"/>
      <c r="Q4" s="91"/>
      <c r="R4" s="91"/>
      <c r="S4" s="91"/>
      <c r="T4" s="91"/>
      <c r="U4" s="90"/>
    </row>
    <row r="5" spans="2:21" ht="21.75" thickBot="1">
      <c r="B5" s="89"/>
      <c r="C5" s="421" t="s">
        <v>47</v>
      </c>
      <c r="D5" s="422"/>
      <c r="E5" s="422"/>
      <c r="F5" s="422"/>
      <c r="G5" s="422"/>
      <c r="H5" s="422"/>
      <c r="I5" s="422"/>
      <c r="J5" s="422"/>
      <c r="K5" s="422"/>
      <c r="L5" s="422"/>
      <c r="M5" s="422"/>
      <c r="N5" s="422"/>
      <c r="O5" s="422"/>
      <c r="P5" s="422"/>
      <c r="Q5" s="422"/>
      <c r="R5" s="422"/>
      <c r="S5" s="422"/>
      <c r="T5" s="423"/>
      <c r="U5" s="90"/>
    </row>
    <row r="6" spans="2:21" ht="15">
      <c r="B6" s="89"/>
      <c r="C6" s="89"/>
      <c r="D6" s="91"/>
      <c r="E6" s="91"/>
      <c r="F6" s="91"/>
      <c r="G6" s="91"/>
      <c r="H6" s="91"/>
      <c r="I6" s="91"/>
      <c r="J6" s="91"/>
      <c r="K6" s="91"/>
      <c r="L6" s="91"/>
      <c r="M6" s="91"/>
      <c r="N6" s="91"/>
      <c r="O6" s="91"/>
      <c r="P6" s="91"/>
      <c r="Q6" s="91"/>
      <c r="R6" s="91"/>
      <c r="S6" s="91"/>
      <c r="T6" s="90"/>
      <c r="U6" s="90"/>
    </row>
    <row r="7" spans="2:21" ht="15" customHeight="1">
      <c r="B7" s="89"/>
      <c r="C7" s="89"/>
      <c r="D7" s="91"/>
      <c r="E7" s="91"/>
      <c r="F7" s="91"/>
      <c r="G7" s="91"/>
      <c r="H7" s="91"/>
      <c r="I7" s="91"/>
      <c r="J7" s="91"/>
      <c r="K7" s="91"/>
      <c r="L7" s="91"/>
      <c r="M7" s="91"/>
      <c r="N7" s="91"/>
      <c r="O7" s="91"/>
      <c r="P7" s="91"/>
      <c r="Q7" s="91"/>
      <c r="R7" s="91"/>
      <c r="S7" s="91"/>
      <c r="T7" s="90"/>
      <c r="U7" s="90"/>
    </row>
    <row r="8" spans="2:21" ht="15">
      <c r="B8" s="89"/>
      <c r="C8" s="89"/>
      <c r="D8" s="91"/>
      <c r="E8" s="91"/>
      <c r="F8" s="91"/>
      <c r="G8" s="91"/>
      <c r="H8" s="91"/>
      <c r="I8" s="91"/>
      <c r="J8" s="91"/>
      <c r="K8" s="91"/>
      <c r="L8" s="91"/>
      <c r="M8" s="91"/>
      <c r="N8" s="91"/>
      <c r="O8" s="91"/>
      <c r="P8" s="91"/>
      <c r="Q8" s="91"/>
      <c r="R8" s="91"/>
      <c r="S8" s="91"/>
      <c r="T8" s="90"/>
      <c r="U8" s="90"/>
    </row>
    <row r="9" spans="2:21" ht="15">
      <c r="B9" s="89"/>
      <c r="C9" s="89"/>
      <c r="D9" s="91"/>
      <c r="E9" s="91"/>
      <c r="F9" s="91"/>
      <c r="G9" s="91"/>
      <c r="H9" s="91"/>
      <c r="I9" s="91"/>
      <c r="J9" s="91"/>
      <c r="K9" s="91"/>
      <c r="L9" s="91"/>
      <c r="M9" s="91"/>
      <c r="N9" s="91"/>
      <c r="O9" s="91"/>
      <c r="P9" s="91"/>
      <c r="Q9" s="91"/>
      <c r="R9" s="91"/>
      <c r="S9" s="91"/>
      <c r="T9" s="90"/>
      <c r="U9" s="90"/>
    </row>
    <row r="10" spans="2:21" ht="14.25" customHeight="1">
      <c r="B10" s="89"/>
      <c r="C10" s="89"/>
      <c r="D10" s="91"/>
      <c r="E10" s="91"/>
      <c r="F10" s="91"/>
      <c r="G10" s="91"/>
      <c r="H10" s="91"/>
      <c r="I10" s="91"/>
      <c r="J10" s="91"/>
      <c r="K10" s="91"/>
      <c r="L10" s="91"/>
      <c r="M10" s="91"/>
      <c r="N10" s="91"/>
      <c r="O10" s="91"/>
      <c r="P10" s="91"/>
      <c r="Q10" s="91"/>
      <c r="R10" s="91"/>
      <c r="S10" s="91"/>
      <c r="T10" s="90"/>
      <c r="U10" s="90"/>
    </row>
    <row r="11" spans="2:21" ht="15">
      <c r="B11" s="89"/>
      <c r="C11" s="89"/>
      <c r="D11" s="91"/>
      <c r="E11" s="91"/>
      <c r="F11" s="91"/>
      <c r="G11" s="91"/>
      <c r="H11" s="91"/>
      <c r="I11" s="91"/>
      <c r="J11" s="91"/>
      <c r="K11" s="91"/>
      <c r="L11" s="91"/>
      <c r="M11" s="91"/>
      <c r="N11" s="91"/>
      <c r="O11" s="91"/>
      <c r="P11" s="91"/>
      <c r="Q11" s="91"/>
      <c r="R11" s="91"/>
      <c r="S11" s="91"/>
      <c r="T11" s="90"/>
      <c r="U11" s="90"/>
    </row>
    <row r="12" spans="2:21" ht="15">
      <c r="B12" s="89"/>
      <c r="C12" s="89"/>
      <c r="D12" s="91"/>
      <c r="E12" s="91"/>
      <c r="F12" s="91"/>
      <c r="G12" s="91"/>
      <c r="H12" s="91"/>
      <c r="I12" s="91"/>
      <c r="J12" s="91"/>
      <c r="K12" s="91"/>
      <c r="L12" s="91"/>
      <c r="M12" s="91"/>
      <c r="N12" s="91"/>
      <c r="O12" s="91"/>
      <c r="P12" s="91"/>
      <c r="Q12" s="91"/>
      <c r="R12" s="91"/>
      <c r="S12" s="91"/>
      <c r="T12" s="90"/>
      <c r="U12" s="90"/>
    </row>
    <row r="13" spans="2:21" ht="15">
      <c r="B13" s="89"/>
      <c r="C13" s="89"/>
      <c r="D13" s="91"/>
      <c r="E13" s="91"/>
      <c r="F13" s="91"/>
      <c r="G13" s="91"/>
      <c r="H13" s="424" t="s">
        <v>120</v>
      </c>
      <c r="I13" s="424"/>
      <c r="J13" s="424"/>
      <c r="K13" s="424"/>
      <c r="L13" s="424"/>
      <c r="M13" s="424"/>
      <c r="N13" s="424"/>
      <c r="O13" s="424"/>
      <c r="P13" s="424"/>
      <c r="Q13" s="91"/>
      <c r="R13" s="91"/>
      <c r="S13" s="91"/>
      <c r="T13" s="90"/>
      <c r="U13" s="90"/>
    </row>
    <row r="14" spans="2:21" ht="15">
      <c r="B14" s="89"/>
      <c r="C14" s="89"/>
      <c r="D14" s="91"/>
      <c r="E14" s="91"/>
      <c r="F14" s="91"/>
      <c r="G14" s="91"/>
      <c r="H14" s="91"/>
      <c r="I14" s="91"/>
      <c r="J14" s="91"/>
      <c r="K14" s="91"/>
      <c r="L14" s="91"/>
      <c r="M14" s="91"/>
      <c r="N14" s="91"/>
      <c r="O14" s="91"/>
      <c r="P14" s="91"/>
      <c r="Q14" s="91"/>
      <c r="R14" s="91"/>
      <c r="S14" s="91"/>
      <c r="T14" s="90"/>
      <c r="U14" s="90"/>
    </row>
    <row r="15" spans="2:21" ht="15">
      <c r="B15" s="89"/>
      <c r="C15" s="89"/>
      <c r="D15" s="91"/>
      <c r="E15" s="91"/>
      <c r="F15" s="91"/>
      <c r="G15" s="91"/>
      <c r="H15" s="91"/>
      <c r="I15" s="91"/>
      <c r="J15" s="91"/>
      <c r="K15" s="91"/>
      <c r="L15" s="91"/>
      <c r="M15" s="91"/>
      <c r="N15" s="91"/>
      <c r="O15" s="91"/>
      <c r="P15" s="91"/>
      <c r="Q15" s="91"/>
      <c r="R15" s="91"/>
      <c r="S15" s="91"/>
      <c r="T15" s="90"/>
      <c r="U15" s="90"/>
    </row>
    <row r="16" spans="2:21" ht="15">
      <c r="B16" s="89"/>
      <c r="C16" s="89"/>
      <c r="D16" s="91"/>
      <c r="E16" s="91"/>
      <c r="F16" s="91"/>
      <c r="G16" s="91"/>
      <c r="H16" s="91"/>
      <c r="I16" s="91"/>
      <c r="J16" s="91"/>
      <c r="K16" s="91"/>
      <c r="L16" s="91"/>
      <c r="M16" s="91"/>
      <c r="N16" s="91"/>
      <c r="O16" s="91"/>
      <c r="P16" s="91"/>
      <c r="Q16" s="91"/>
      <c r="R16" s="91"/>
      <c r="S16" s="91"/>
      <c r="T16" s="90"/>
      <c r="U16" s="90"/>
    </row>
    <row r="17" spans="2:21" ht="15">
      <c r="B17" s="89"/>
      <c r="C17" s="89"/>
      <c r="D17" s="91"/>
      <c r="E17" s="91"/>
      <c r="F17" s="91"/>
      <c r="G17" s="91"/>
      <c r="H17" s="91"/>
      <c r="I17" s="91"/>
      <c r="J17" s="91"/>
      <c r="K17" s="91"/>
      <c r="L17" s="91"/>
      <c r="M17" s="91"/>
      <c r="N17" s="91"/>
      <c r="O17" s="91"/>
      <c r="P17" s="91"/>
      <c r="Q17" s="91"/>
      <c r="R17" s="91"/>
      <c r="S17" s="91"/>
      <c r="T17" s="90"/>
      <c r="U17" s="90"/>
    </row>
    <row r="18" spans="2:21" ht="15" customHeight="1">
      <c r="B18" s="89"/>
      <c r="C18" s="425" t="s">
        <v>330</v>
      </c>
      <c r="D18" s="426"/>
      <c r="E18" s="426"/>
      <c r="F18" s="426"/>
      <c r="G18" s="426"/>
      <c r="H18" s="426"/>
      <c r="I18" s="426"/>
      <c r="J18" s="426"/>
      <c r="K18" s="426"/>
      <c r="L18" s="426"/>
      <c r="M18" s="426"/>
      <c r="N18" s="426"/>
      <c r="O18" s="426"/>
      <c r="P18" s="426"/>
      <c r="Q18" s="426"/>
      <c r="R18" s="426"/>
      <c r="S18" s="426"/>
      <c r="T18" s="427"/>
      <c r="U18" s="90"/>
    </row>
    <row r="19" spans="2:21" ht="15">
      <c r="B19" s="89"/>
      <c r="C19" s="425"/>
      <c r="D19" s="426"/>
      <c r="E19" s="426"/>
      <c r="F19" s="426"/>
      <c r="G19" s="426"/>
      <c r="H19" s="426"/>
      <c r="I19" s="426"/>
      <c r="J19" s="426"/>
      <c r="K19" s="426"/>
      <c r="L19" s="426"/>
      <c r="M19" s="426"/>
      <c r="N19" s="426"/>
      <c r="O19" s="426"/>
      <c r="P19" s="426"/>
      <c r="Q19" s="426"/>
      <c r="R19" s="426"/>
      <c r="S19" s="426"/>
      <c r="T19" s="427"/>
      <c r="U19" s="90"/>
    </row>
    <row r="20" spans="2:21" ht="15">
      <c r="B20" s="89"/>
      <c r="C20" s="425"/>
      <c r="D20" s="426"/>
      <c r="E20" s="426"/>
      <c r="F20" s="426"/>
      <c r="G20" s="426"/>
      <c r="H20" s="426"/>
      <c r="I20" s="426"/>
      <c r="J20" s="426"/>
      <c r="K20" s="426"/>
      <c r="L20" s="426"/>
      <c r="M20" s="426"/>
      <c r="N20" s="426"/>
      <c r="O20" s="426"/>
      <c r="P20" s="426"/>
      <c r="Q20" s="426"/>
      <c r="R20" s="426"/>
      <c r="S20" s="426"/>
      <c r="T20" s="427"/>
      <c r="U20" s="90"/>
    </row>
    <row r="21" spans="2:21" ht="15">
      <c r="B21" s="89"/>
      <c r="C21" s="425"/>
      <c r="D21" s="426"/>
      <c r="E21" s="426"/>
      <c r="F21" s="426"/>
      <c r="G21" s="426"/>
      <c r="H21" s="426"/>
      <c r="I21" s="426"/>
      <c r="J21" s="426"/>
      <c r="K21" s="426"/>
      <c r="L21" s="426"/>
      <c r="M21" s="426"/>
      <c r="N21" s="426"/>
      <c r="O21" s="426"/>
      <c r="P21" s="426"/>
      <c r="Q21" s="426"/>
      <c r="R21" s="426"/>
      <c r="S21" s="426"/>
      <c r="T21" s="427"/>
      <c r="U21" s="90"/>
    </row>
    <row r="22" spans="2:21" ht="15">
      <c r="B22" s="89"/>
      <c r="C22" s="425"/>
      <c r="D22" s="426"/>
      <c r="E22" s="426"/>
      <c r="F22" s="426"/>
      <c r="G22" s="426"/>
      <c r="H22" s="426"/>
      <c r="I22" s="426"/>
      <c r="J22" s="426"/>
      <c r="K22" s="426"/>
      <c r="L22" s="426"/>
      <c r="M22" s="426"/>
      <c r="N22" s="426"/>
      <c r="O22" s="426"/>
      <c r="P22" s="426"/>
      <c r="Q22" s="426"/>
      <c r="R22" s="426"/>
      <c r="S22" s="426"/>
      <c r="T22" s="427"/>
      <c r="U22" s="90"/>
    </row>
    <row r="23" spans="2:21" ht="15" customHeight="1">
      <c r="B23" s="89"/>
      <c r="C23" s="425"/>
      <c r="D23" s="426"/>
      <c r="E23" s="426"/>
      <c r="F23" s="426"/>
      <c r="G23" s="426"/>
      <c r="H23" s="426"/>
      <c r="I23" s="426"/>
      <c r="J23" s="426"/>
      <c r="K23" s="426"/>
      <c r="L23" s="426"/>
      <c r="M23" s="426"/>
      <c r="N23" s="426"/>
      <c r="O23" s="426"/>
      <c r="P23" s="426"/>
      <c r="Q23" s="426"/>
      <c r="R23" s="426"/>
      <c r="S23" s="426"/>
      <c r="T23" s="427"/>
      <c r="U23" s="90"/>
    </row>
    <row r="24" spans="2:21" ht="15" customHeight="1">
      <c r="B24" s="89"/>
      <c r="C24" s="425"/>
      <c r="D24" s="426"/>
      <c r="E24" s="426"/>
      <c r="F24" s="426"/>
      <c r="G24" s="426"/>
      <c r="H24" s="426"/>
      <c r="I24" s="426"/>
      <c r="J24" s="426"/>
      <c r="K24" s="426"/>
      <c r="L24" s="426"/>
      <c r="M24" s="426"/>
      <c r="N24" s="426"/>
      <c r="O24" s="426"/>
      <c r="P24" s="426"/>
      <c r="Q24" s="426"/>
      <c r="R24" s="426"/>
      <c r="S24" s="426"/>
      <c r="T24" s="427"/>
      <c r="U24" s="90"/>
    </row>
    <row r="25" spans="2:21" ht="15">
      <c r="B25" s="89"/>
      <c r="C25" s="425"/>
      <c r="D25" s="426"/>
      <c r="E25" s="426"/>
      <c r="F25" s="426"/>
      <c r="G25" s="426"/>
      <c r="H25" s="426"/>
      <c r="I25" s="426"/>
      <c r="J25" s="426"/>
      <c r="K25" s="426"/>
      <c r="L25" s="426"/>
      <c r="M25" s="426"/>
      <c r="N25" s="426"/>
      <c r="O25" s="426"/>
      <c r="P25" s="426"/>
      <c r="Q25" s="426"/>
      <c r="R25" s="426"/>
      <c r="S25" s="426"/>
      <c r="T25" s="427"/>
      <c r="U25" s="90"/>
    </row>
    <row r="26" spans="2:21" ht="15" customHeight="1">
      <c r="B26" s="89"/>
      <c r="C26" s="428" t="s">
        <v>223</v>
      </c>
      <c r="D26" s="429"/>
      <c r="E26" s="429"/>
      <c r="F26" s="429"/>
      <c r="G26" s="429"/>
      <c r="H26" s="429"/>
      <c r="I26" s="429"/>
      <c r="J26" s="429"/>
      <c r="K26" s="429"/>
      <c r="L26" s="429"/>
      <c r="M26" s="429"/>
      <c r="N26" s="429"/>
      <c r="O26" s="429"/>
      <c r="P26" s="429"/>
      <c r="Q26" s="429"/>
      <c r="R26" s="429"/>
      <c r="S26" s="429"/>
      <c r="T26" s="430"/>
      <c r="U26" s="90"/>
    </row>
    <row r="27" spans="2:21" ht="15">
      <c r="B27" s="89"/>
      <c r="C27" s="428"/>
      <c r="D27" s="429"/>
      <c r="E27" s="429"/>
      <c r="F27" s="429"/>
      <c r="G27" s="429"/>
      <c r="H27" s="429"/>
      <c r="I27" s="429"/>
      <c r="J27" s="429"/>
      <c r="K27" s="429"/>
      <c r="L27" s="429"/>
      <c r="M27" s="429"/>
      <c r="N27" s="429"/>
      <c r="O27" s="429"/>
      <c r="P27" s="429"/>
      <c r="Q27" s="429"/>
      <c r="R27" s="429"/>
      <c r="S27" s="429"/>
      <c r="T27" s="430"/>
      <c r="U27" s="90"/>
    </row>
    <row r="28" spans="2:21" ht="15">
      <c r="B28" s="89"/>
      <c r="C28" s="89"/>
      <c r="D28" s="91"/>
      <c r="E28" s="91"/>
      <c r="F28" s="91"/>
      <c r="G28" s="91"/>
      <c r="H28" s="91"/>
      <c r="I28" s="91"/>
      <c r="J28" s="91"/>
      <c r="K28" s="91"/>
      <c r="L28" s="91"/>
      <c r="M28" s="91"/>
      <c r="N28" s="91"/>
      <c r="O28" s="91"/>
      <c r="P28" s="91"/>
      <c r="Q28" s="91"/>
      <c r="R28" s="91"/>
      <c r="S28" s="91"/>
      <c r="T28" s="90"/>
      <c r="U28" s="90"/>
    </row>
    <row r="29" spans="2:21" ht="15" customHeight="1">
      <c r="B29" s="89"/>
      <c r="C29" s="419" t="s">
        <v>224</v>
      </c>
      <c r="D29" s="367"/>
      <c r="E29" s="367"/>
      <c r="F29" s="367"/>
      <c r="G29" s="367"/>
      <c r="H29" s="367"/>
      <c r="I29" s="367"/>
      <c r="J29" s="367"/>
      <c r="K29" s="367"/>
      <c r="L29" s="367"/>
      <c r="M29" s="367"/>
      <c r="N29" s="367"/>
      <c r="O29" s="367"/>
      <c r="P29" s="367"/>
      <c r="Q29" s="367"/>
      <c r="R29" s="367"/>
      <c r="S29" s="367"/>
      <c r="T29" s="420"/>
      <c r="U29" s="90"/>
    </row>
    <row r="30" spans="2:21" ht="15">
      <c r="B30" s="89"/>
      <c r="C30" s="419"/>
      <c r="D30" s="367"/>
      <c r="E30" s="367"/>
      <c r="F30" s="367"/>
      <c r="G30" s="367"/>
      <c r="H30" s="367"/>
      <c r="I30" s="367"/>
      <c r="J30" s="367"/>
      <c r="K30" s="367"/>
      <c r="L30" s="367"/>
      <c r="M30" s="367"/>
      <c r="N30" s="367"/>
      <c r="O30" s="367"/>
      <c r="P30" s="367"/>
      <c r="Q30" s="367"/>
      <c r="R30" s="367"/>
      <c r="S30" s="367"/>
      <c r="T30" s="420"/>
      <c r="U30" s="90"/>
    </row>
    <row r="31" spans="2:21" ht="15">
      <c r="B31" s="89"/>
      <c r="C31" s="89"/>
      <c r="D31" s="91"/>
      <c r="E31" s="91"/>
      <c r="F31" s="91"/>
      <c r="G31" s="91"/>
      <c r="H31" s="91"/>
      <c r="I31" s="91"/>
      <c r="J31" s="91"/>
      <c r="K31" s="91"/>
      <c r="L31" s="91"/>
      <c r="M31" s="91"/>
      <c r="N31" s="91"/>
      <c r="O31" s="91"/>
      <c r="P31" s="91"/>
      <c r="Q31" s="91"/>
      <c r="R31" s="91"/>
      <c r="S31" s="91"/>
      <c r="T31" s="90"/>
      <c r="U31" s="90"/>
    </row>
    <row r="32" spans="2:21" ht="15">
      <c r="B32" s="89"/>
      <c r="C32" s="89" t="s">
        <v>194</v>
      </c>
      <c r="D32" s="91"/>
      <c r="E32" s="91"/>
      <c r="F32" s="91"/>
      <c r="G32" s="91"/>
      <c r="H32" s="91"/>
      <c r="I32" s="91"/>
      <c r="J32" s="91"/>
      <c r="K32" s="91"/>
      <c r="L32" s="91"/>
      <c r="M32" s="91"/>
      <c r="N32" s="91"/>
      <c r="O32" s="91"/>
      <c r="P32" s="91"/>
      <c r="Q32" s="91"/>
      <c r="R32" s="91"/>
      <c r="S32" s="91"/>
      <c r="T32" s="90"/>
      <c r="U32" s="90"/>
    </row>
    <row r="33" spans="2:21" ht="15">
      <c r="B33" s="89"/>
      <c r="C33" s="89" t="s">
        <v>195</v>
      </c>
      <c r="D33" s="91"/>
      <c r="E33" s="91"/>
      <c r="F33" s="91"/>
      <c r="G33" s="91"/>
      <c r="H33" s="91"/>
      <c r="I33" s="91"/>
      <c r="J33" s="91"/>
      <c r="K33" s="91"/>
      <c r="L33" s="91"/>
      <c r="M33" s="91"/>
      <c r="N33" s="91"/>
      <c r="O33" s="91"/>
      <c r="P33" s="91"/>
      <c r="Q33" s="91"/>
      <c r="R33" s="91"/>
      <c r="S33" s="91"/>
      <c r="T33" s="90"/>
      <c r="U33" s="90"/>
    </row>
    <row r="34" spans="2:21" ht="15">
      <c r="B34" s="89"/>
      <c r="C34" s="89"/>
      <c r="D34" s="91"/>
      <c r="E34" s="91"/>
      <c r="F34" s="91"/>
      <c r="G34" s="91"/>
      <c r="H34" s="91"/>
      <c r="I34" s="91"/>
      <c r="J34" s="91"/>
      <c r="K34" s="91"/>
      <c r="L34" s="91"/>
      <c r="M34" s="91"/>
      <c r="N34" s="91"/>
      <c r="O34" s="91"/>
      <c r="P34" s="91"/>
      <c r="Q34" s="91"/>
      <c r="R34" s="91"/>
      <c r="S34" s="91"/>
      <c r="T34" s="90"/>
      <c r="U34" s="90"/>
    </row>
    <row r="35" spans="2:21" ht="15" customHeight="1">
      <c r="B35" s="89"/>
      <c r="C35" s="425" t="s">
        <v>225</v>
      </c>
      <c r="D35" s="426"/>
      <c r="E35" s="426"/>
      <c r="F35" s="426"/>
      <c r="G35" s="426"/>
      <c r="H35" s="426"/>
      <c r="I35" s="426"/>
      <c r="J35" s="426"/>
      <c r="K35" s="426"/>
      <c r="L35" s="426"/>
      <c r="M35" s="426"/>
      <c r="N35" s="426"/>
      <c r="O35" s="426"/>
      <c r="P35" s="426"/>
      <c r="Q35" s="426"/>
      <c r="R35" s="426"/>
      <c r="S35" s="426"/>
      <c r="T35" s="427"/>
      <c r="U35" s="90"/>
    </row>
    <row r="36" spans="2:21" ht="15" customHeight="1" thickBot="1">
      <c r="B36" s="89"/>
      <c r="C36" s="435"/>
      <c r="D36" s="436"/>
      <c r="E36" s="436"/>
      <c r="F36" s="436"/>
      <c r="G36" s="436"/>
      <c r="H36" s="436"/>
      <c r="I36" s="436"/>
      <c r="J36" s="436"/>
      <c r="K36" s="436"/>
      <c r="L36" s="436"/>
      <c r="M36" s="436"/>
      <c r="N36" s="436"/>
      <c r="O36" s="436"/>
      <c r="P36" s="436"/>
      <c r="Q36" s="436"/>
      <c r="R36" s="436"/>
      <c r="S36" s="436"/>
      <c r="T36" s="437"/>
      <c r="U36" s="90"/>
    </row>
    <row r="37" spans="2:21" ht="15" customHeight="1" thickBot="1">
      <c r="B37" s="89"/>
      <c r="C37" s="92"/>
      <c r="D37" s="92"/>
      <c r="E37" s="92"/>
      <c r="F37" s="92"/>
      <c r="G37" s="92"/>
      <c r="H37" s="92"/>
      <c r="I37" s="92"/>
      <c r="J37" s="92"/>
      <c r="K37" s="92"/>
      <c r="L37" s="92"/>
      <c r="M37" s="92"/>
      <c r="N37" s="92"/>
      <c r="O37" s="92"/>
      <c r="P37" s="92"/>
      <c r="Q37" s="92"/>
      <c r="R37" s="92"/>
      <c r="S37" s="92"/>
      <c r="T37" s="92"/>
      <c r="U37" s="90"/>
    </row>
    <row r="38" spans="2:21" ht="21.75" customHeight="1" thickBot="1">
      <c r="B38" s="89"/>
      <c r="C38" s="368" t="s">
        <v>315</v>
      </c>
      <c r="D38" s="369"/>
      <c r="E38" s="369"/>
      <c r="F38" s="369"/>
      <c r="G38" s="369"/>
      <c r="H38" s="369"/>
      <c r="I38" s="369"/>
      <c r="J38" s="369"/>
      <c r="K38" s="369"/>
      <c r="L38" s="369"/>
      <c r="M38" s="369"/>
      <c r="N38" s="369"/>
      <c r="O38" s="369"/>
      <c r="P38" s="369"/>
      <c r="Q38" s="369"/>
      <c r="R38" s="369"/>
      <c r="S38" s="369"/>
      <c r="T38" s="370"/>
      <c r="U38" s="90"/>
    </row>
    <row r="39" spans="2:21" ht="15" customHeight="1" thickBot="1">
      <c r="B39" s="89"/>
      <c r="C39" s="92"/>
      <c r="D39" s="92"/>
      <c r="E39" s="92"/>
      <c r="F39" s="92"/>
      <c r="G39" s="92"/>
      <c r="H39" s="92"/>
      <c r="I39" s="92"/>
      <c r="J39" s="92"/>
      <c r="K39" s="92"/>
      <c r="L39" s="92"/>
      <c r="M39" s="92"/>
      <c r="N39" s="92"/>
      <c r="O39" s="92"/>
      <c r="P39" s="92"/>
      <c r="Q39" s="92"/>
      <c r="R39" s="92"/>
      <c r="S39" s="92"/>
      <c r="T39" s="92"/>
      <c r="U39" s="90"/>
    </row>
    <row r="40" spans="2:21" ht="15" customHeight="1" thickBot="1">
      <c r="B40" s="89"/>
      <c r="C40" s="93"/>
      <c r="D40" s="398" t="s">
        <v>49</v>
      </c>
      <c r="E40" s="399"/>
      <c r="F40" s="399"/>
      <c r="G40" s="399"/>
      <c r="H40" s="399"/>
      <c r="I40" s="399"/>
      <c r="J40" s="399"/>
      <c r="K40" s="399"/>
      <c r="L40" s="399"/>
      <c r="M40" s="399"/>
      <c r="N40" s="399"/>
      <c r="O40" s="399"/>
      <c r="P40" s="399"/>
      <c r="Q40" s="399"/>
      <c r="R40" s="399"/>
      <c r="S40" s="400"/>
      <c r="T40" s="92"/>
      <c r="U40" s="90"/>
    </row>
    <row r="41" spans="2:21" ht="15" customHeight="1">
      <c r="B41" s="89"/>
      <c r="C41" s="93"/>
      <c r="D41" s="401" t="s">
        <v>50</v>
      </c>
      <c r="E41" s="402"/>
      <c r="F41" s="402"/>
      <c r="G41" s="402"/>
      <c r="H41" s="402"/>
      <c r="I41" s="402"/>
      <c r="J41" s="402"/>
      <c r="K41" s="402"/>
      <c r="L41" s="402"/>
      <c r="M41" s="402"/>
      <c r="N41" s="402"/>
      <c r="O41" s="402"/>
      <c r="P41" s="403">
        <v>50</v>
      </c>
      <c r="Q41" s="403"/>
      <c r="R41" s="403" t="s">
        <v>65</v>
      </c>
      <c r="S41" s="416"/>
      <c r="T41" s="92"/>
      <c r="U41" s="90"/>
    </row>
    <row r="42" spans="2:21" ht="15" customHeight="1">
      <c r="B42" s="89"/>
      <c r="C42" s="93"/>
      <c r="D42" s="373" t="s">
        <v>35</v>
      </c>
      <c r="E42" s="374"/>
      <c r="F42" s="374"/>
      <c r="G42" s="374"/>
      <c r="H42" s="374"/>
      <c r="I42" s="374"/>
      <c r="J42" s="374"/>
      <c r="K42" s="374"/>
      <c r="L42" s="374"/>
      <c r="M42" s="374"/>
      <c r="N42" s="374"/>
      <c r="O42" s="374"/>
      <c r="P42" s="404">
        <v>10</v>
      </c>
      <c r="Q42" s="404"/>
      <c r="R42" s="417" t="s">
        <v>282</v>
      </c>
      <c r="S42" s="418"/>
      <c r="T42" s="92"/>
      <c r="U42" s="90"/>
    </row>
    <row r="43" spans="2:21" ht="15" customHeight="1">
      <c r="B43" s="89"/>
      <c r="C43" s="93"/>
      <c r="D43" s="371" t="s">
        <v>186</v>
      </c>
      <c r="E43" s="372"/>
      <c r="F43" s="372"/>
      <c r="G43" s="372"/>
      <c r="H43" s="372"/>
      <c r="I43" s="372"/>
      <c r="J43" s="372"/>
      <c r="K43" s="372"/>
      <c r="L43" s="372"/>
      <c r="M43" s="372"/>
      <c r="N43" s="372"/>
      <c r="O43" s="372"/>
      <c r="P43" s="397">
        <v>3</v>
      </c>
      <c r="Q43" s="397"/>
      <c r="R43" s="397" t="s">
        <v>36</v>
      </c>
      <c r="S43" s="414"/>
      <c r="T43" s="92"/>
      <c r="U43" s="90"/>
    </row>
    <row r="44" spans="2:21" ht="15" customHeight="1">
      <c r="B44" s="89"/>
      <c r="C44" s="93"/>
      <c r="D44" s="371" t="s">
        <v>135</v>
      </c>
      <c r="E44" s="372"/>
      <c r="F44" s="372"/>
      <c r="G44" s="372"/>
      <c r="H44" s="372"/>
      <c r="I44" s="372"/>
      <c r="J44" s="372"/>
      <c r="K44" s="372"/>
      <c r="L44" s="372"/>
      <c r="M44" s="372"/>
      <c r="N44" s="372"/>
      <c r="O44" s="372"/>
      <c r="P44" s="397">
        <v>4</v>
      </c>
      <c r="Q44" s="397"/>
      <c r="R44" s="397" t="s">
        <v>17</v>
      </c>
      <c r="S44" s="414"/>
      <c r="T44" s="92"/>
      <c r="U44" s="90"/>
    </row>
    <row r="45" spans="2:21" ht="15" customHeight="1" thickBot="1">
      <c r="B45" s="89"/>
      <c r="C45" s="93"/>
      <c r="D45" s="392" t="s">
        <v>235</v>
      </c>
      <c r="E45" s="393"/>
      <c r="F45" s="393"/>
      <c r="G45" s="393"/>
      <c r="H45" s="393"/>
      <c r="I45" s="393"/>
      <c r="J45" s="393"/>
      <c r="K45" s="393"/>
      <c r="L45" s="393"/>
      <c r="M45" s="393"/>
      <c r="N45" s="393"/>
      <c r="O45" s="393"/>
      <c r="P45" s="405">
        <v>50</v>
      </c>
      <c r="Q45" s="405"/>
      <c r="R45" s="394" t="s">
        <v>282</v>
      </c>
      <c r="S45" s="408"/>
      <c r="T45" s="92"/>
      <c r="U45" s="90"/>
    </row>
    <row r="46" spans="2:21" ht="15" customHeight="1" thickBot="1">
      <c r="B46" s="89"/>
      <c r="C46" s="93"/>
      <c r="D46" s="56"/>
      <c r="E46" s="65"/>
      <c r="F46" s="56"/>
      <c r="G46" s="65"/>
      <c r="H46" s="65"/>
      <c r="I46" s="65"/>
      <c r="J46" s="93"/>
      <c r="K46" s="93"/>
      <c r="L46" s="92"/>
      <c r="M46" s="92"/>
      <c r="N46" s="92"/>
      <c r="O46" s="92"/>
      <c r="P46" s="388"/>
      <c r="Q46" s="389"/>
      <c r="R46" s="388"/>
      <c r="S46" s="389"/>
      <c r="T46" s="92"/>
      <c r="U46" s="90"/>
    </row>
    <row r="47" spans="2:21" ht="15" customHeight="1" thickBot="1">
      <c r="B47" s="89"/>
      <c r="C47" s="93"/>
      <c r="D47" s="398" t="s">
        <v>26</v>
      </c>
      <c r="E47" s="399"/>
      <c r="F47" s="399"/>
      <c r="G47" s="399"/>
      <c r="H47" s="399"/>
      <c r="I47" s="399"/>
      <c r="J47" s="399"/>
      <c r="K47" s="399"/>
      <c r="L47" s="399"/>
      <c r="M47" s="399"/>
      <c r="N47" s="399"/>
      <c r="O47" s="399"/>
      <c r="P47" s="399"/>
      <c r="Q47" s="399"/>
      <c r="R47" s="399"/>
      <c r="S47" s="400"/>
      <c r="T47" s="92"/>
      <c r="U47" s="90"/>
    </row>
    <row r="48" spans="2:21" ht="15" customHeight="1">
      <c r="B48" s="89"/>
      <c r="C48" s="93"/>
      <c r="D48" s="401" t="s">
        <v>283</v>
      </c>
      <c r="E48" s="402"/>
      <c r="F48" s="402"/>
      <c r="G48" s="402"/>
      <c r="H48" s="402"/>
      <c r="I48" s="402"/>
      <c r="J48" s="402"/>
      <c r="K48" s="402"/>
      <c r="L48" s="402"/>
      <c r="M48" s="402"/>
      <c r="N48" s="402"/>
      <c r="O48" s="402"/>
      <c r="P48" s="390">
        <v>500</v>
      </c>
      <c r="Q48" s="390"/>
      <c r="R48" s="406"/>
      <c r="S48" s="407"/>
      <c r="T48" s="92"/>
      <c r="U48" s="90"/>
    </row>
    <row r="49" spans="2:21" ht="15" customHeight="1">
      <c r="B49" s="89"/>
      <c r="C49" s="93"/>
      <c r="D49" s="371" t="s">
        <v>13</v>
      </c>
      <c r="E49" s="372"/>
      <c r="F49" s="372"/>
      <c r="G49" s="372"/>
      <c r="H49" s="372"/>
      <c r="I49" s="372"/>
      <c r="J49" s="372"/>
      <c r="K49" s="372"/>
      <c r="L49" s="372"/>
      <c r="M49" s="372"/>
      <c r="N49" s="372"/>
      <c r="O49" s="372"/>
      <c r="P49" s="391">
        <v>12</v>
      </c>
      <c r="Q49" s="391"/>
      <c r="R49" s="391" t="s">
        <v>1</v>
      </c>
      <c r="S49" s="415"/>
      <c r="T49" s="92"/>
      <c r="U49" s="90"/>
    </row>
    <row r="50" spans="2:21" ht="15" customHeight="1">
      <c r="B50" s="89"/>
      <c r="C50" s="93"/>
      <c r="D50" s="371" t="s">
        <v>119</v>
      </c>
      <c r="E50" s="372"/>
      <c r="F50" s="372"/>
      <c r="G50" s="372"/>
      <c r="H50" s="372"/>
      <c r="I50" s="372"/>
      <c r="J50" s="372"/>
      <c r="K50" s="372"/>
      <c r="L50" s="372"/>
      <c r="M50" s="372"/>
      <c r="N50" s="372"/>
      <c r="O50" s="372"/>
      <c r="P50" s="391">
        <v>16</v>
      </c>
      <c r="Q50" s="391"/>
      <c r="R50" s="391" t="s">
        <v>2</v>
      </c>
      <c r="S50" s="415"/>
      <c r="T50" s="92"/>
      <c r="U50" s="90"/>
    </row>
    <row r="51" spans="2:21" ht="15" customHeight="1">
      <c r="B51" s="89"/>
      <c r="C51" s="93"/>
      <c r="D51" s="371" t="s">
        <v>117</v>
      </c>
      <c r="E51" s="372"/>
      <c r="F51" s="372"/>
      <c r="G51" s="372"/>
      <c r="H51" s="372"/>
      <c r="I51" s="372"/>
      <c r="J51" s="372"/>
      <c r="K51" s="372"/>
      <c r="L51" s="372"/>
      <c r="M51" s="372"/>
      <c r="N51" s="372"/>
      <c r="O51" s="372"/>
      <c r="P51" s="391">
        <v>8</v>
      </c>
      <c r="Q51" s="391"/>
      <c r="R51" s="391" t="s">
        <v>2</v>
      </c>
      <c r="S51" s="415"/>
      <c r="T51" s="92"/>
      <c r="U51" s="90"/>
    </row>
    <row r="52" spans="2:21" ht="15" customHeight="1">
      <c r="B52" s="89"/>
      <c r="C52" s="93"/>
      <c r="D52" s="373" t="s">
        <v>118</v>
      </c>
      <c r="E52" s="374"/>
      <c r="F52" s="374"/>
      <c r="G52" s="374"/>
      <c r="H52" s="374"/>
      <c r="I52" s="374"/>
      <c r="J52" s="374"/>
      <c r="K52" s="374"/>
      <c r="L52" s="374"/>
      <c r="M52" s="374"/>
      <c r="N52" s="374"/>
      <c r="O52" s="374"/>
      <c r="P52" s="391">
        <v>5</v>
      </c>
      <c r="Q52" s="391"/>
      <c r="R52" s="391" t="s">
        <v>3</v>
      </c>
      <c r="S52" s="415"/>
      <c r="T52" s="92"/>
      <c r="U52" s="90"/>
    </row>
    <row r="53" spans="2:21" ht="15" customHeight="1">
      <c r="B53" s="89"/>
      <c r="C53" s="93"/>
      <c r="D53" s="373" t="s">
        <v>10</v>
      </c>
      <c r="E53" s="374"/>
      <c r="F53" s="374"/>
      <c r="G53" s="374"/>
      <c r="H53" s="374"/>
      <c r="I53" s="374"/>
      <c r="J53" s="374"/>
      <c r="K53" s="374"/>
      <c r="L53" s="374"/>
      <c r="M53" s="374"/>
      <c r="N53" s="374"/>
      <c r="O53" s="374"/>
      <c r="P53" s="391">
        <v>70</v>
      </c>
      <c r="Q53" s="391"/>
      <c r="R53" s="391" t="s">
        <v>11</v>
      </c>
      <c r="S53" s="415"/>
      <c r="T53" s="92"/>
      <c r="U53" s="90"/>
    </row>
    <row r="54" spans="2:21" ht="15" customHeight="1" thickBot="1">
      <c r="B54" s="89"/>
      <c r="C54" s="93"/>
      <c r="D54" s="392" t="s">
        <v>12</v>
      </c>
      <c r="E54" s="393"/>
      <c r="F54" s="393"/>
      <c r="G54" s="393"/>
      <c r="H54" s="393"/>
      <c r="I54" s="393"/>
      <c r="J54" s="393"/>
      <c r="K54" s="393"/>
      <c r="L54" s="393"/>
      <c r="M54" s="393"/>
      <c r="N54" s="393"/>
      <c r="O54" s="393"/>
      <c r="P54" s="409">
        <v>40</v>
      </c>
      <c r="Q54" s="409"/>
      <c r="R54" s="409" t="s">
        <v>11</v>
      </c>
      <c r="S54" s="410"/>
      <c r="T54" s="92"/>
      <c r="U54" s="90"/>
    </row>
    <row r="55" spans="2:21" ht="15" customHeight="1" thickBot="1">
      <c r="B55" s="89"/>
      <c r="C55" s="93"/>
      <c r="D55" s="72"/>
      <c r="E55" s="65"/>
      <c r="F55" s="56"/>
      <c r="G55" s="65"/>
      <c r="H55" s="65"/>
      <c r="I55" s="65"/>
      <c r="J55" s="93"/>
      <c r="K55" s="93"/>
      <c r="L55" s="92"/>
      <c r="M55" s="92"/>
      <c r="N55" s="92"/>
      <c r="O55" s="92"/>
      <c r="P55" s="92"/>
      <c r="Q55" s="66"/>
      <c r="R55" s="92"/>
      <c r="S55" s="66"/>
      <c r="T55" s="92"/>
      <c r="U55" s="90"/>
    </row>
    <row r="56" spans="2:21" ht="15" customHeight="1" thickBot="1">
      <c r="B56" s="89"/>
      <c r="C56" s="93"/>
      <c r="D56" s="398" t="s">
        <v>4</v>
      </c>
      <c r="E56" s="399"/>
      <c r="F56" s="399"/>
      <c r="G56" s="399"/>
      <c r="H56" s="399"/>
      <c r="I56" s="399"/>
      <c r="J56" s="399"/>
      <c r="K56" s="399"/>
      <c r="L56" s="399"/>
      <c r="M56" s="399"/>
      <c r="N56" s="399"/>
      <c r="O56" s="399"/>
      <c r="P56" s="399"/>
      <c r="Q56" s="399"/>
      <c r="R56" s="399"/>
      <c r="S56" s="400"/>
      <c r="T56" s="92"/>
      <c r="U56" s="90"/>
    </row>
    <row r="57" spans="2:21" ht="15" customHeight="1">
      <c r="B57" s="89"/>
      <c r="C57" s="93"/>
      <c r="D57" s="401" t="s">
        <v>14</v>
      </c>
      <c r="E57" s="402"/>
      <c r="F57" s="402"/>
      <c r="G57" s="402"/>
      <c r="H57" s="402"/>
      <c r="I57" s="402"/>
      <c r="J57" s="402"/>
      <c r="K57" s="402"/>
      <c r="L57" s="402"/>
      <c r="M57" s="402"/>
      <c r="N57" s="402"/>
      <c r="O57" s="402"/>
      <c r="P57" s="395">
        <v>6</v>
      </c>
      <c r="Q57" s="395"/>
      <c r="R57" s="395" t="s">
        <v>6</v>
      </c>
      <c r="S57" s="413"/>
      <c r="T57" s="92"/>
      <c r="U57" s="90"/>
    </row>
    <row r="58" spans="2:21" ht="15" customHeight="1">
      <c r="B58" s="89"/>
      <c r="C58" s="93"/>
      <c r="D58" s="371" t="s">
        <v>5</v>
      </c>
      <c r="E58" s="372"/>
      <c r="F58" s="372"/>
      <c r="G58" s="372"/>
      <c r="H58" s="372"/>
      <c r="I58" s="372"/>
      <c r="J58" s="372"/>
      <c r="K58" s="372"/>
      <c r="L58" s="372"/>
      <c r="M58" s="372"/>
      <c r="N58" s="372"/>
      <c r="O58" s="372"/>
      <c r="P58" s="396">
        <v>2000</v>
      </c>
      <c r="Q58" s="396"/>
      <c r="R58" s="411"/>
      <c r="S58" s="412"/>
      <c r="T58" s="92"/>
      <c r="U58" s="90"/>
    </row>
    <row r="59" spans="2:21" ht="15" customHeight="1">
      <c r="B59" s="89"/>
      <c r="C59" s="93"/>
      <c r="D59" s="371" t="s">
        <v>122</v>
      </c>
      <c r="E59" s="372"/>
      <c r="F59" s="372"/>
      <c r="G59" s="372"/>
      <c r="H59" s="372"/>
      <c r="I59" s="372"/>
      <c r="J59" s="372"/>
      <c r="K59" s="372"/>
      <c r="L59" s="372"/>
      <c r="M59" s="372"/>
      <c r="N59" s="372"/>
      <c r="O59" s="372"/>
      <c r="P59" s="397">
        <v>6</v>
      </c>
      <c r="Q59" s="397"/>
      <c r="R59" s="397" t="s">
        <v>15</v>
      </c>
      <c r="S59" s="414"/>
      <c r="T59" s="92"/>
      <c r="U59" s="90"/>
    </row>
    <row r="60" spans="2:21" ht="15" customHeight="1">
      <c r="B60" s="89"/>
      <c r="C60" s="93"/>
      <c r="D60" s="371" t="s">
        <v>123</v>
      </c>
      <c r="E60" s="372"/>
      <c r="F60" s="372"/>
      <c r="G60" s="372"/>
      <c r="H60" s="372"/>
      <c r="I60" s="372"/>
      <c r="J60" s="372"/>
      <c r="K60" s="372"/>
      <c r="L60" s="372"/>
      <c r="M60" s="372"/>
      <c r="N60" s="372"/>
      <c r="O60" s="372"/>
      <c r="P60" s="396">
        <v>100</v>
      </c>
      <c r="Q60" s="396"/>
      <c r="R60" s="411"/>
      <c r="S60" s="412"/>
      <c r="T60" s="92"/>
      <c r="U60" s="90"/>
    </row>
    <row r="61" spans="2:21" ht="15" customHeight="1">
      <c r="B61" s="89"/>
      <c r="C61" s="93"/>
      <c r="D61" s="373" t="s">
        <v>10</v>
      </c>
      <c r="E61" s="374"/>
      <c r="F61" s="374"/>
      <c r="G61" s="374"/>
      <c r="H61" s="374"/>
      <c r="I61" s="374"/>
      <c r="J61" s="374"/>
      <c r="K61" s="374"/>
      <c r="L61" s="374"/>
      <c r="M61" s="374"/>
      <c r="N61" s="374"/>
      <c r="O61" s="374"/>
      <c r="P61" s="397">
        <v>40</v>
      </c>
      <c r="Q61" s="397"/>
      <c r="R61" s="397" t="s">
        <v>11</v>
      </c>
      <c r="S61" s="414"/>
      <c r="T61" s="92"/>
      <c r="U61" s="90"/>
    </row>
    <row r="62" spans="2:21" ht="15" customHeight="1" thickBot="1">
      <c r="B62" s="89"/>
      <c r="C62" s="93"/>
      <c r="D62" s="375" t="s">
        <v>12</v>
      </c>
      <c r="E62" s="376"/>
      <c r="F62" s="376"/>
      <c r="G62" s="376"/>
      <c r="H62" s="376"/>
      <c r="I62" s="376"/>
      <c r="J62" s="376"/>
      <c r="K62" s="376"/>
      <c r="L62" s="376"/>
      <c r="M62" s="376"/>
      <c r="N62" s="376"/>
      <c r="O62" s="376"/>
      <c r="P62" s="394">
        <v>1.5</v>
      </c>
      <c r="Q62" s="394"/>
      <c r="R62" s="394" t="s">
        <v>11</v>
      </c>
      <c r="S62" s="408"/>
      <c r="T62" s="92"/>
      <c r="U62" s="90"/>
    </row>
    <row r="63" spans="2:21" ht="15" customHeight="1" thickBot="1">
      <c r="B63" s="89"/>
      <c r="C63" s="200"/>
      <c r="D63" s="57"/>
      <c r="E63" s="57"/>
      <c r="F63" s="57"/>
      <c r="G63" s="57"/>
      <c r="H63" s="57"/>
      <c r="I63" s="57"/>
      <c r="J63" s="200"/>
      <c r="K63" s="57"/>
      <c r="L63" s="92"/>
      <c r="M63" s="92"/>
      <c r="N63" s="92"/>
      <c r="O63" s="92"/>
      <c r="P63" s="92"/>
      <c r="Q63" s="92"/>
      <c r="R63" s="92"/>
      <c r="S63" s="92"/>
      <c r="T63" s="92"/>
      <c r="U63" s="90"/>
    </row>
    <row r="64" spans="2:21" ht="15" customHeight="1">
      <c r="B64" s="89"/>
      <c r="C64" s="93"/>
      <c r="D64" s="385" t="s">
        <v>243</v>
      </c>
      <c r="E64" s="386"/>
      <c r="F64" s="386"/>
      <c r="G64" s="386"/>
      <c r="H64" s="386"/>
      <c r="I64" s="386"/>
      <c r="J64" s="386"/>
      <c r="K64" s="386"/>
      <c r="L64" s="386"/>
      <c r="M64" s="386"/>
      <c r="N64" s="386"/>
      <c r="O64" s="386"/>
      <c r="P64" s="386"/>
      <c r="Q64" s="387"/>
      <c r="R64" s="377" t="s">
        <v>244</v>
      </c>
      <c r="S64" s="378"/>
      <c r="T64" s="92"/>
      <c r="U64" s="90"/>
    </row>
    <row r="65" spans="2:21" ht="15" customHeight="1">
      <c r="B65" s="89"/>
      <c r="C65" s="93"/>
      <c r="D65" s="75" t="s">
        <v>244</v>
      </c>
      <c r="E65" s="384" t="s">
        <v>292</v>
      </c>
      <c r="F65" s="384"/>
      <c r="G65" s="384"/>
      <c r="H65" s="384"/>
      <c r="I65" s="384"/>
      <c r="J65" s="384"/>
      <c r="K65" s="384"/>
      <c r="L65" s="384"/>
      <c r="M65" s="384"/>
      <c r="N65" s="384"/>
      <c r="O65" s="384"/>
      <c r="P65" s="384"/>
      <c r="Q65" s="384"/>
      <c r="R65" s="379"/>
      <c r="S65" s="380"/>
      <c r="T65" s="92"/>
      <c r="U65" s="90"/>
    </row>
    <row r="66" spans="2:21" ht="15" customHeight="1" thickBot="1">
      <c r="B66" s="89"/>
      <c r="C66" s="93"/>
      <c r="D66" s="76" t="s">
        <v>245</v>
      </c>
      <c r="E66" s="383" t="s">
        <v>293</v>
      </c>
      <c r="F66" s="383"/>
      <c r="G66" s="383"/>
      <c r="H66" s="383"/>
      <c r="I66" s="383"/>
      <c r="J66" s="383"/>
      <c r="K66" s="383"/>
      <c r="L66" s="383"/>
      <c r="M66" s="383"/>
      <c r="N66" s="383"/>
      <c r="O66" s="383"/>
      <c r="P66" s="383"/>
      <c r="Q66" s="383"/>
      <c r="R66" s="381"/>
      <c r="S66" s="382"/>
      <c r="T66" s="92"/>
      <c r="U66" s="90"/>
    </row>
    <row r="67" spans="2:21" ht="15" customHeight="1">
      <c r="B67" s="89"/>
      <c r="C67" s="93"/>
      <c r="D67" s="94"/>
      <c r="E67" s="95"/>
      <c r="F67" s="95"/>
      <c r="G67" s="95"/>
      <c r="H67" s="95"/>
      <c r="I67" s="95"/>
      <c r="J67" s="95"/>
      <c r="K67" s="95"/>
      <c r="L67" s="95"/>
      <c r="M67" s="95"/>
      <c r="N67" s="95"/>
      <c r="O67" s="95"/>
      <c r="P67" s="95"/>
      <c r="Q67" s="95"/>
      <c r="R67" s="96"/>
      <c r="S67" s="96"/>
      <c r="T67" s="92"/>
      <c r="U67" s="90"/>
    </row>
    <row r="68" spans="2:21" ht="15" customHeight="1" thickBot="1">
      <c r="B68" s="89"/>
      <c r="C68" s="93"/>
      <c r="D68" s="94"/>
      <c r="E68" s="95"/>
      <c r="F68" s="95"/>
      <c r="G68" s="95"/>
      <c r="H68" s="95"/>
      <c r="I68" s="95"/>
      <c r="J68" s="95"/>
      <c r="K68" s="95"/>
      <c r="L68" s="95"/>
      <c r="M68" s="95"/>
      <c r="N68" s="95"/>
      <c r="O68" s="95"/>
      <c r="P68" s="95"/>
      <c r="Q68" s="95"/>
      <c r="R68" s="96"/>
      <c r="S68" s="96"/>
      <c r="T68" s="92"/>
      <c r="U68" s="90"/>
    </row>
    <row r="69" spans="2:21" ht="21.75" thickBot="1">
      <c r="B69" s="89"/>
      <c r="C69" s="368" t="s">
        <v>317</v>
      </c>
      <c r="D69" s="369"/>
      <c r="E69" s="369"/>
      <c r="F69" s="369"/>
      <c r="G69" s="369"/>
      <c r="H69" s="369"/>
      <c r="I69" s="369"/>
      <c r="J69" s="369"/>
      <c r="K69" s="369"/>
      <c r="L69" s="369"/>
      <c r="M69" s="369"/>
      <c r="N69" s="369"/>
      <c r="O69" s="369"/>
      <c r="P69" s="369"/>
      <c r="Q69" s="369"/>
      <c r="R69" s="369"/>
      <c r="S69" s="369"/>
      <c r="T69" s="370"/>
      <c r="U69" s="90"/>
    </row>
    <row r="70" spans="2:21" ht="15" customHeight="1">
      <c r="B70" s="89"/>
      <c r="C70" s="92"/>
      <c r="D70" s="365" t="s">
        <v>314</v>
      </c>
      <c r="E70" s="365"/>
      <c r="F70" s="365"/>
      <c r="G70" s="365"/>
      <c r="H70" s="365"/>
      <c r="I70" s="365"/>
      <c r="J70" s="365"/>
      <c r="K70" s="365"/>
      <c r="L70" s="365"/>
      <c r="M70" s="365"/>
      <c r="N70" s="365"/>
      <c r="O70" s="365"/>
      <c r="P70" s="365"/>
      <c r="Q70" s="365"/>
      <c r="R70" s="365"/>
      <c r="S70" s="365"/>
      <c r="T70" s="365"/>
      <c r="U70" s="90"/>
    </row>
    <row r="71" spans="2:21" ht="15" customHeight="1">
      <c r="B71" s="89"/>
      <c r="C71" s="92"/>
      <c r="D71" s="366" t="s">
        <v>316</v>
      </c>
      <c r="E71" s="366"/>
      <c r="F71" s="366"/>
      <c r="G71" s="366"/>
      <c r="H71" s="366"/>
      <c r="I71" s="366"/>
      <c r="J71" s="366"/>
      <c r="K71" s="366"/>
      <c r="L71" s="366"/>
      <c r="M71" s="366"/>
      <c r="N71" s="366"/>
      <c r="O71" s="366"/>
      <c r="P71" s="366"/>
      <c r="Q71" s="366"/>
      <c r="R71" s="366"/>
      <c r="S71" s="366"/>
      <c r="T71" s="366"/>
      <c r="U71" s="90"/>
    </row>
    <row r="72" spans="2:21" ht="15" customHeight="1">
      <c r="B72" s="89"/>
      <c r="C72" s="92"/>
      <c r="D72" s="367" t="s">
        <v>332</v>
      </c>
      <c r="E72" s="367"/>
      <c r="F72" s="367"/>
      <c r="G72" s="367"/>
      <c r="H72" s="367"/>
      <c r="I72" s="367"/>
      <c r="J72" s="367"/>
      <c r="K72" s="367"/>
      <c r="L72" s="367"/>
      <c r="M72" s="367"/>
      <c r="N72" s="367"/>
      <c r="O72" s="367"/>
      <c r="P72" s="367"/>
      <c r="Q72" s="367"/>
      <c r="R72" s="367"/>
      <c r="S72" s="367"/>
      <c r="T72" s="367"/>
      <c r="U72" s="90"/>
    </row>
    <row r="73" spans="2:21" ht="15" customHeight="1">
      <c r="B73" s="89"/>
      <c r="C73" s="92"/>
      <c r="D73" s="367"/>
      <c r="E73" s="367"/>
      <c r="F73" s="367"/>
      <c r="G73" s="367"/>
      <c r="H73" s="367"/>
      <c r="I73" s="367"/>
      <c r="J73" s="367"/>
      <c r="K73" s="367"/>
      <c r="L73" s="367"/>
      <c r="M73" s="367"/>
      <c r="N73" s="367"/>
      <c r="O73" s="367"/>
      <c r="P73" s="367"/>
      <c r="Q73" s="367"/>
      <c r="R73" s="367"/>
      <c r="S73" s="367"/>
      <c r="T73" s="367"/>
      <c r="U73" s="90"/>
    </row>
    <row r="74" spans="2:21" ht="15" customHeight="1" thickBot="1">
      <c r="B74" s="89"/>
      <c r="C74" s="92"/>
      <c r="D74" s="91"/>
      <c r="E74" s="91"/>
      <c r="F74" s="91"/>
      <c r="G74" s="91"/>
      <c r="H74" s="91"/>
      <c r="I74" s="91"/>
      <c r="J74" s="91"/>
      <c r="K74" s="91"/>
      <c r="L74" s="91"/>
      <c r="M74" s="91"/>
      <c r="N74" s="91"/>
      <c r="O74" s="91"/>
      <c r="P74" s="91"/>
      <c r="Q74" s="91"/>
      <c r="R74" s="91"/>
      <c r="S74" s="91"/>
      <c r="T74" s="91"/>
      <c r="U74" s="90"/>
    </row>
    <row r="75" spans="2:21" ht="15" customHeight="1">
      <c r="B75" s="89"/>
      <c r="C75" s="92"/>
      <c r="D75" s="97" t="s">
        <v>299</v>
      </c>
      <c r="E75" s="93"/>
      <c r="F75" s="93"/>
      <c r="G75" s="355"/>
      <c r="H75" s="355"/>
      <c r="I75" s="93"/>
      <c r="J75" s="93"/>
      <c r="K75" s="61"/>
      <c r="L75" s="344" t="s">
        <v>329</v>
      </c>
      <c r="M75" s="340"/>
      <c r="N75" s="340" t="s">
        <v>328</v>
      </c>
      <c r="O75" s="341"/>
      <c r="P75" s="98"/>
      <c r="Q75" s="98"/>
      <c r="R75" s="98"/>
      <c r="S75" s="98"/>
      <c r="T75" s="98"/>
      <c r="U75" s="90"/>
    </row>
    <row r="76" spans="2:21" ht="15" customHeight="1" thickBot="1">
      <c r="B76" s="89"/>
      <c r="C76" s="92"/>
      <c r="D76" s="91"/>
      <c r="E76" s="93"/>
      <c r="F76" s="93"/>
      <c r="G76" s="355"/>
      <c r="H76" s="355"/>
      <c r="I76" s="93"/>
      <c r="J76" s="93"/>
      <c r="K76" s="61"/>
      <c r="L76" s="345"/>
      <c r="M76" s="342"/>
      <c r="N76" s="342"/>
      <c r="O76" s="343"/>
      <c r="P76" s="98"/>
      <c r="Q76" s="98"/>
      <c r="R76" s="98"/>
      <c r="S76" s="98"/>
      <c r="T76" s="98"/>
      <c r="U76" s="90"/>
    </row>
    <row r="77" spans="2:21" ht="15" customHeight="1">
      <c r="B77" s="89"/>
      <c r="C77" s="92"/>
      <c r="D77" s="91"/>
      <c r="E77" s="93"/>
      <c r="F77" s="93"/>
      <c r="G77" s="351" t="s">
        <v>309</v>
      </c>
      <c r="H77" s="352"/>
      <c r="I77" s="352"/>
      <c r="J77" s="352"/>
      <c r="K77" s="353"/>
      <c r="L77" s="364">
        <v>32067</v>
      </c>
      <c r="M77" s="356"/>
      <c r="N77" s="356">
        <v>-10627</v>
      </c>
      <c r="O77" s="357"/>
      <c r="P77" s="98"/>
      <c r="Q77" s="98"/>
      <c r="R77" s="98"/>
      <c r="S77" s="98"/>
      <c r="T77" s="98"/>
      <c r="U77" s="90"/>
    </row>
    <row r="78" spans="2:21" ht="15" customHeight="1">
      <c r="B78" s="89"/>
      <c r="C78" s="92"/>
      <c r="D78" s="91"/>
      <c r="E78" s="93"/>
      <c r="F78" s="93"/>
      <c r="G78" s="354" t="s">
        <v>247</v>
      </c>
      <c r="H78" s="349"/>
      <c r="I78" s="349"/>
      <c r="J78" s="349" t="s">
        <v>248</v>
      </c>
      <c r="K78" s="350"/>
      <c r="L78" s="363">
        <v>0.65</v>
      </c>
      <c r="M78" s="358"/>
      <c r="N78" s="358" t="s">
        <v>331</v>
      </c>
      <c r="O78" s="359"/>
      <c r="P78" s="98"/>
      <c r="Q78" s="98"/>
      <c r="R78" s="98"/>
      <c r="S78" s="98"/>
      <c r="T78" s="98"/>
      <c r="U78" s="90"/>
    </row>
    <row r="79" spans="2:21" ht="15" customHeight="1">
      <c r="B79" s="89"/>
      <c r="C79" s="92"/>
      <c r="D79" s="91"/>
      <c r="E79" s="93"/>
      <c r="F79" s="93"/>
      <c r="G79" s="354"/>
      <c r="H79" s="349"/>
      <c r="I79" s="349"/>
      <c r="J79" s="349" t="s">
        <v>249</v>
      </c>
      <c r="K79" s="350"/>
      <c r="L79" s="363">
        <v>0.79</v>
      </c>
      <c r="M79" s="358"/>
      <c r="N79" s="358" t="s">
        <v>331</v>
      </c>
      <c r="O79" s="359"/>
      <c r="P79" s="98"/>
      <c r="Q79" s="98"/>
      <c r="R79" s="98"/>
      <c r="S79" s="237"/>
      <c r="T79" s="98"/>
      <c r="U79" s="90"/>
    </row>
    <row r="80" spans="2:21" ht="15" customHeight="1" thickBot="1">
      <c r="B80" s="89"/>
      <c r="C80" s="92"/>
      <c r="D80" s="92"/>
      <c r="E80" s="92"/>
      <c r="F80" s="92"/>
      <c r="G80" s="346" t="s">
        <v>310</v>
      </c>
      <c r="H80" s="347"/>
      <c r="I80" s="347"/>
      <c r="J80" s="347"/>
      <c r="K80" s="348"/>
      <c r="L80" s="362">
        <v>1.2</v>
      </c>
      <c r="M80" s="360"/>
      <c r="N80" s="360">
        <v>307.6</v>
      </c>
      <c r="O80" s="361"/>
      <c r="P80" s="92"/>
      <c r="Q80" s="92"/>
      <c r="R80" s="92"/>
      <c r="S80" s="92"/>
      <c r="T80" s="92"/>
      <c r="U80" s="90"/>
    </row>
    <row r="81" spans="2:21" ht="15" customHeight="1">
      <c r="B81" s="89"/>
      <c r="C81" s="92"/>
      <c r="D81" s="92"/>
      <c r="E81" s="92"/>
      <c r="F81" s="92"/>
      <c r="G81" s="92"/>
      <c r="H81" s="61"/>
      <c r="I81" s="61"/>
      <c r="J81" s="61"/>
      <c r="K81" s="61"/>
      <c r="L81" s="61"/>
      <c r="M81" s="92"/>
      <c r="N81" s="92"/>
      <c r="O81" s="92"/>
      <c r="P81" s="92"/>
      <c r="Q81" s="92"/>
      <c r="R81" s="92"/>
      <c r="S81" s="92"/>
      <c r="T81" s="92"/>
      <c r="U81" s="90"/>
    </row>
    <row r="82" spans="2:21" ht="15" customHeight="1">
      <c r="B82" s="89"/>
      <c r="C82" s="92"/>
      <c r="D82" s="92"/>
      <c r="E82" s="92"/>
      <c r="F82" s="92"/>
      <c r="G82" s="92"/>
      <c r="H82" s="61"/>
      <c r="I82" s="61"/>
      <c r="J82" s="61"/>
      <c r="K82" s="61"/>
      <c r="L82" s="61"/>
      <c r="M82" s="92"/>
      <c r="N82" s="92"/>
      <c r="O82" s="92"/>
      <c r="P82" s="92"/>
      <c r="Q82" s="92"/>
      <c r="R82" s="92"/>
      <c r="S82" s="92"/>
      <c r="T82" s="92"/>
      <c r="U82" s="90"/>
    </row>
    <row r="83" spans="2:21" ht="15" customHeight="1">
      <c r="B83" s="89"/>
      <c r="C83" s="92"/>
      <c r="D83" s="92"/>
      <c r="E83" s="92"/>
      <c r="F83" s="92"/>
      <c r="G83" s="92"/>
      <c r="H83" s="92"/>
      <c r="I83" s="92"/>
      <c r="J83" s="92"/>
      <c r="K83" s="92"/>
      <c r="L83" s="92"/>
      <c r="M83" s="92"/>
      <c r="N83" s="92"/>
      <c r="O83" s="92"/>
      <c r="P83" s="92"/>
      <c r="Q83" s="92"/>
      <c r="R83" s="92"/>
      <c r="S83" s="92"/>
      <c r="T83" s="92"/>
      <c r="U83" s="90"/>
    </row>
    <row r="84" spans="2:21" ht="15" customHeight="1">
      <c r="B84" s="89"/>
      <c r="C84" s="92"/>
      <c r="D84" s="92"/>
      <c r="E84" s="92"/>
      <c r="F84" s="92"/>
      <c r="G84" s="92"/>
      <c r="H84" s="92"/>
      <c r="I84" s="92"/>
      <c r="J84" s="92"/>
      <c r="K84" s="92"/>
      <c r="L84" s="92"/>
      <c r="M84" s="92"/>
      <c r="N84" s="92"/>
      <c r="O84" s="92"/>
      <c r="P84" s="92"/>
      <c r="Q84" s="92"/>
      <c r="R84" s="92"/>
      <c r="S84" s="92"/>
      <c r="T84" s="92"/>
      <c r="U84" s="90"/>
    </row>
    <row r="85" spans="2:21" ht="15" customHeight="1">
      <c r="B85" s="89"/>
      <c r="C85" s="92"/>
      <c r="D85" s="92"/>
      <c r="E85" s="92"/>
      <c r="F85" s="92"/>
      <c r="G85" s="92"/>
      <c r="H85" s="92"/>
      <c r="I85" s="92"/>
      <c r="J85" s="92"/>
      <c r="K85" s="92"/>
      <c r="L85" s="92"/>
      <c r="M85" s="92"/>
      <c r="N85" s="92"/>
      <c r="O85" s="92"/>
      <c r="P85" s="92"/>
      <c r="Q85" s="92"/>
      <c r="R85" s="92"/>
      <c r="S85" s="92"/>
      <c r="T85" s="92"/>
      <c r="U85" s="90"/>
    </row>
    <row r="86" spans="2:21" ht="15" customHeight="1">
      <c r="B86" s="89"/>
      <c r="C86" s="92"/>
      <c r="D86" s="92"/>
      <c r="E86" s="92"/>
      <c r="F86" s="92"/>
      <c r="G86" s="92"/>
      <c r="H86" s="92"/>
      <c r="I86" s="92"/>
      <c r="J86" s="92"/>
      <c r="K86" s="92"/>
      <c r="L86" s="92"/>
      <c r="M86" s="92"/>
      <c r="N86" s="92"/>
      <c r="O86" s="92"/>
      <c r="P86" s="92"/>
      <c r="Q86" s="92"/>
      <c r="R86" s="92"/>
      <c r="S86" s="92"/>
      <c r="T86" s="92"/>
      <c r="U86" s="90"/>
    </row>
    <row r="87" spans="2:21" ht="15" customHeight="1">
      <c r="B87" s="89"/>
      <c r="C87" s="92"/>
      <c r="D87" s="92"/>
      <c r="E87" s="92"/>
      <c r="F87" s="92"/>
      <c r="G87" s="92"/>
      <c r="H87" s="92"/>
      <c r="I87" s="92"/>
      <c r="J87" s="92"/>
      <c r="K87" s="92"/>
      <c r="L87" s="92"/>
      <c r="M87" s="92"/>
      <c r="N87" s="92"/>
      <c r="O87" s="92"/>
      <c r="P87" s="92"/>
      <c r="Q87" s="92"/>
      <c r="R87" s="92"/>
      <c r="S87" s="92"/>
      <c r="T87" s="92"/>
      <c r="U87" s="90"/>
    </row>
    <row r="88" spans="2:21" ht="15" customHeight="1">
      <c r="B88" s="89"/>
      <c r="C88" s="92"/>
      <c r="D88" s="92"/>
      <c r="E88" s="92"/>
      <c r="F88" s="92"/>
      <c r="G88" s="92"/>
      <c r="H88" s="92"/>
      <c r="I88" s="92"/>
      <c r="J88" s="92"/>
      <c r="K88" s="92"/>
      <c r="L88" s="92"/>
      <c r="M88" s="92"/>
      <c r="N88" s="92"/>
      <c r="O88" s="92"/>
      <c r="P88" s="92"/>
      <c r="Q88" s="92"/>
      <c r="R88" s="92"/>
      <c r="S88" s="92"/>
      <c r="T88" s="92"/>
      <c r="U88" s="90"/>
    </row>
    <row r="89" spans="2:21" ht="15" customHeight="1">
      <c r="B89" s="89"/>
      <c r="C89" s="92"/>
      <c r="D89" s="92"/>
      <c r="E89" s="92"/>
      <c r="F89" s="92"/>
      <c r="G89" s="92"/>
      <c r="H89" s="92"/>
      <c r="I89" s="92"/>
      <c r="J89" s="92"/>
      <c r="K89" s="92"/>
      <c r="L89" s="92"/>
      <c r="M89" s="92"/>
      <c r="N89" s="92"/>
      <c r="O89" s="92"/>
      <c r="P89" s="92"/>
      <c r="Q89" s="92"/>
      <c r="R89" s="92"/>
      <c r="S89" s="92"/>
      <c r="T89" s="92"/>
      <c r="U89" s="90"/>
    </row>
    <row r="90" spans="2:21" ht="15" customHeight="1">
      <c r="B90" s="89"/>
      <c r="C90" s="92"/>
      <c r="D90" s="92"/>
      <c r="E90" s="92"/>
      <c r="F90" s="92"/>
      <c r="G90" s="92"/>
      <c r="H90" s="92"/>
      <c r="I90" s="92"/>
      <c r="J90" s="92"/>
      <c r="K90" s="92"/>
      <c r="L90" s="92"/>
      <c r="M90" s="92"/>
      <c r="N90" s="92"/>
      <c r="O90" s="92"/>
      <c r="P90" s="92"/>
      <c r="Q90" s="92"/>
      <c r="R90" s="92"/>
      <c r="S90" s="92"/>
      <c r="T90" s="92"/>
      <c r="U90" s="90"/>
    </row>
    <row r="91" spans="2:21" ht="15" customHeight="1">
      <c r="B91" s="89"/>
      <c r="C91" s="92"/>
      <c r="D91" s="92"/>
      <c r="E91" s="92"/>
      <c r="F91" s="92"/>
      <c r="G91" s="92"/>
      <c r="H91" s="92"/>
      <c r="I91" s="92"/>
      <c r="J91" s="92"/>
      <c r="K91" s="92"/>
      <c r="L91" s="92"/>
      <c r="M91" s="92"/>
      <c r="N91" s="92"/>
      <c r="O91" s="92"/>
      <c r="P91" s="92"/>
      <c r="Q91" s="92"/>
      <c r="R91" s="92"/>
      <c r="S91" s="92"/>
      <c r="T91" s="92"/>
      <c r="U91" s="90"/>
    </row>
    <row r="92" spans="2:21" ht="15" customHeight="1">
      <c r="B92" s="89"/>
      <c r="C92" s="92"/>
      <c r="D92" s="92"/>
      <c r="E92" s="92"/>
      <c r="F92" s="92"/>
      <c r="G92" s="92"/>
      <c r="H92" s="92"/>
      <c r="I92" s="92"/>
      <c r="J92" s="92"/>
      <c r="K92" s="92"/>
      <c r="L92" s="92"/>
      <c r="M92" s="92"/>
      <c r="N92" s="92"/>
      <c r="O92" s="92"/>
      <c r="P92" s="92"/>
      <c r="Q92" s="92"/>
      <c r="R92" s="92"/>
      <c r="S92" s="92"/>
      <c r="T92" s="92"/>
      <c r="U92" s="90"/>
    </row>
    <row r="93" spans="2:21" ht="15" customHeight="1">
      <c r="B93" s="89"/>
      <c r="C93" s="92"/>
      <c r="D93" s="92"/>
      <c r="E93" s="92"/>
      <c r="F93" s="92"/>
      <c r="G93" s="92"/>
      <c r="H93" s="92"/>
      <c r="I93" s="92"/>
      <c r="J93" s="92"/>
      <c r="K93" s="92"/>
      <c r="L93" s="92"/>
      <c r="M93" s="92"/>
      <c r="N93" s="92"/>
      <c r="O93" s="92"/>
      <c r="P93" s="92"/>
      <c r="Q93" s="92"/>
      <c r="R93" s="92"/>
      <c r="S93" s="92"/>
      <c r="T93" s="92"/>
      <c r="U93" s="90"/>
    </row>
    <row r="94" spans="2:21" ht="15" customHeight="1">
      <c r="B94" s="89"/>
      <c r="C94" s="92"/>
      <c r="D94" s="92"/>
      <c r="E94" s="92"/>
      <c r="F94" s="92"/>
      <c r="G94" s="92"/>
      <c r="H94" s="92"/>
      <c r="I94" s="92"/>
      <c r="J94" s="92"/>
      <c r="K94" s="92"/>
      <c r="L94" s="92"/>
      <c r="M94" s="92"/>
      <c r="N94" s="92"/>
      <c r="O94" s="92"/>
      <c r="P94" s="92"/>
      <c r="Q94" s="92"/>
      <c r="R94" s="92"/>
      <c r="S94" s="92"/>
      <c r="T94" s="92"/>
      <c r="U94" s="90"/>
    </row>
    <row r="95" spans="2:21" ht="15" customHeight="1">
      <c r="B95" s="89"/>
      <c r="C95" s="92"/>
      <c r="D95" s="92"/>
      <c r="E95" s="92"/>
      <c r="F95" s="92"/>
      <c r="G95" s="92"/>
      <c r="H95" s="92"/>
      <c r="I95" s="92"/>
      <c r="J95" s="92"/>
      <c r="K95" s="92"/>
      <c r="L95" s="92"/>
      <c r="M95" s="92"/>
      <c r="N95" s="92"/>
      <c r="O95" s="92"/>
      <c r="P95" s="92"/>
      <c r="Q95" s="92"/>
      <c r="R95" s="92"/>
      <c r="S95" s="92"/>
      <c r="T95" s="92"/>
      <c r="U95" s="90"/>
    </row>
    <row r="96" spans="2:21" ht="15" customHeight="1">
      <c r="B96" s="89"/>
      <c r="C96" s="92"/>
      <c r="D96" s="92"/>
      <c r="E96" s="92"/>
      <c r="F96" s="92"/>
      <c r="G96" s="92"/>
      <c r="H96" s="92"/>
      <c r="I96" s="92"/>
      <c r="J96" s="92"/>
      <c r="K96" s="92"/>
      <c r="L96" s="92"/>
      <c r="M96" s="92"/>
      <c r="N96" s="92"/>
      <c r="O96" s="92"/>
      <c r="P96" s="92"/>
      <c r="Q96" s="92"/>
      <c r="R96" s="92"/>
      <c r="S96" s="92"/>
      <c r="T96" s="92"/>
      <c r="U96" s="90"/>
    </row>
    <row r="97" spans="2:21" ht="15" customHeight="1">
      <c r="B97" s="89"/>
      <c r="C97" s="92"/>
      <c r="D97" s="92"/>
      <c r="E97" s="92"/>
      <c r="F97" s="92"/>
      <c r="G97" s="92"/>
      <c r="H97" s="92"/>
      <c r="I97" s="92"/>
      <c r="J97" s="92"/>
      <c r="K97" s="92"/>
      <c r="L97" s="92"/>
      <c r="M97" s="92"/>
      <c r="N97" s="92"/>
      <c r="O97" s="92"/>
      <c r="P97" s="92"/>
      <c r="Q97" s="92"/>
      <c r="R97" s="92"/>
      <c r="S97" s="92"/>
      <c r="T97" s="92"/>
      <c r="U97" s="90"/>
    </row>
    <row r="98" spans="2:21" ht="15" customHeight="1">
      <c r="B98" s="89"/>
      <c r="C98" s="92"/>
      <c r="D98" s="92"/>
      <c r="E98" s="92"/>
      <c r="F98" s="92"/>
      <c r="G98" s="92"/>
      <c r="H98" s="92"/>
      <c r="I98" s="92"/>
      <c r="J98" s="92"/>
      <c r="K98" s="92"/>
      <c r="L98" s="92"/>
      <c r="M98" s="92"/>
      <c r="N98" s="92"/>
      <c r="O98" s="92"/>
      <c r="P98" s="92"/>
      <c r="Q98" s="92"/>
      <c r="R98" s="92"/>
      <c r="S98" s="92"/>
      <c r="T98" s="92"/>
      <c r="U98" s="90"/>
    </row>
    <row r="99" spans="2:21" ht="15" customHeight="1">
      <c r="B99" s="89"/>
      <c r="C99" s="92"/>
      <c r="D99" s="92"/>
      <c r="E99" s="92"/>
      <c r="F99" s="92"/>
      <c r="G99" s="92"/>
      <c r="H99" s="92"/>
      <c r="I99" s="92"/>
      <c r="J99" s="92"/>
      <c r="K99" s="92"/>
      <c r="L99" s="92"/>
      <c r="M99" s="92"/>
      <c r="N99" s="92"/>
      <c r="O99" s="92"/>
      <c r="P99" s="92"/>
      <c r="Q99" s="92"/>
      <c r="R99" s="92"/>
      <c r="S99" s="92"/>
      <c r="T99" s="92"/>
      <c r="U99" s="90"/>
    </row>
    <row r="100" spans="2:21" ht="15" customHeight="1">
      <c r="B100" s="89"/>
      <c r="C100" s="92"/>
      <c r="D100" s="92"/>
      <c r="E100" s="92"/>
      <c r="F100" s="92"/>
      <c r="G100" s="92"/>
      <c r="H100" s="92"/>
      <c r="I100" s="92"/>
      <c r="J100" s="92"/>
      <c r="K100" s="92"/>
      <c r="L100" s="92"/>
      <c r="M100" s="92"/>
      <c r="N100" s="92"/>
      <c r="O100" s="92"/>
      <c r="P100" s="92"/>
      <c r="Q100" s="92"/>
      <c r="R100" s="92"/>
      <c r="S100" s="92"/>
      <c r="T100" s="92"/>
      <c r="U100" s="90"/>
    </row>
    <row r="101" spans="2:21" ht="15" customHeight="1">
      <c r="B101" s="89"/>
      <c r="C101" s="92"/>
      <c r="D101" s="92"/>
      <c r="E101" s="92"/>
      <c r="F101" s="92"/>
      <c r="G101" s="92"/>
      <c r="H101" s="92"/>
      <c r="I101" s="92"/>
      <c r="J101" s="92"/>
      <c r="K101" s="92"/>
      <c r="L101" s="92"/>
      <c r="M101" s="92"/>
      <c r="N101" s="92"/>
      <c r="O101" s="92"/>
      <c r="P101" s="92"/>
      <c r="Q101" s="92"/>
      <c r="R101" s="92"/>
      <c r="S101" s="92"/>
      <c r="T101" s="92"/>
      <c r="U101" s="90"/>
    </row>
    <row r="102" spans="2:21" ht="15" customHeight="1">
      <c r="B102" s="89"/>
      <c r="C102" s="92"/>
      <c r="D102" s="92"/>
      <c r="E102" s="92"/>
      <c r="F102" s="92"/>
      <c r="G102" s="92"/>
      <c r="H102" s="92"/>
      <c r="I102" s="92"/>
      <c r="J102" s="92"/>
      <c r="K102" s="92"/>
      <c r="L102" s="92"/>
      <c r="M102" s="92"/>
      <c r="N102" s="92"/>
      <c r="O102" s="92"/>
      <c r="P102" s="92"/>
      <c r="Q102" s="92"/>
      <c r="R102" s="92"/>
      <c r="S102" s="92"/>
      <c r="T102" s="92"/>
      <c r="U102" s="90"/>
    </row>
    <row r="103" spans="2:21" ht="15" customHeight="1">
      <c r="B103" s="89"/>
      <c r="C103" s="92"/>
      <c r="D103" s="92"/>
      <c r="E103" s="92"/>
      <c r="F103" s="92"/>
      <c r="G103" s="92"/>
      <c r="H103" s="92"/>
      <c r="I103" s="92"/>
      <c r="J103" s="92"/>
      <c r="K103" s="92"/>
      <c r="L103" s="92"/>
      <c r="M103" s="92"/>
      <c r="N103" s="92"/>
      <c r="O103" s="92"/>
      <c r="P103" s="92"/>
      <c r="Q103" s="92"/>
      <c r="R103" s="92"/>
      <c r="S103" s="92"/>
      <c r="T103" s="92"/>
      <c r="U103" s="90"/>
    </row>
    <row r="104" spans="2:21" ht="15" customHeight="1">
      <c r="B104" s="89"/>
      <c r="C104" s="92"/>
      <c r="D104" s="92"/>
      <c r="E104" s="92"/>
      <c r="F104" s="92"/>
      <c r="G104" s="92"/>
      <c r="H104" s="92"/>
      <c r="I104" s="92"/>
      <c r="J104" s="92"/>
      <c r="K104" s="92"/>
      <c r="L104" s="92"/>
      <c r="M104" s="92"/>
      <c r="N104" s="92"/>
      <c r="O104" s="92"/>
      <c r="P104" s="92"/>
      <c r="Q104" s="92"/>
      <c r="R104" s="92"/>
      <c r="S104" s="92"/>
      <c r="T104" s="92"/>
      <c r="U104" s="90"/>
    </row>
    <row r="105" spans="2:21" ht="15" customHeight="1">
      <c r="B105" s="89"/>
      <c r="C105" s="92"/>
      <c r="D105" s="92"/>
      <c r="E105" s="92"/>
      <c r="F105" s="92"/>
      <c r="G105" s="92"/>
      <c r="H105" s="92"/>
      <c r="I105" s="92"/>
      <c r="J105" s="92"/>
      <c r="K105" s="92"/>
      <c r="L105" s="92"/>
      <c r="M105" s="92"/>
      <c r="N105" s="92"/>
      <c r="O105" s="92"/>
      <c r="P105" s="92"/>
      <c r="Q105" s="92"/>
      <c r="R105" s="92"/>
      <c r="S105" s="92"/>
      <c r="T105" s="92"/>
      <c r="U105" s="90"/>
    </row>
    <row r="106" spans="2:21" ht="15" customHeight="1">
      <c r="B106" s="89"/>
      <c r="C106" s="92"/>
      <c r="D106" s="92"/>
      <c r="E106" s="92"/>
      <c r="F106" s="92"/>
      <c r="G106" s="92"/>
      <c r="H106" s="92"/>
      <c r="I106" s="92"/>
      <c r="J106" s="92"/>
      <c r="K106" s="92"/>
      <c r="L106" s="92"/>
      <c r="M106" s="92"/>
      <c r="N106" s="92"/>
      <c r="O106" s="92"/>
      <c r="P106" s="92"/>
      <c r="Q106" s="92"/>
      <c r="R106" s="92"/>
      <c r="S106" s="92"/>
      <c r="T106" s="92"/>
      <c r="U106" s="90"/>
    </row>
    <row r="107" spans="2:21" ht="15" customHeight="1">
      <c r="B107" s="89"/>
      <c r="C107" s="92"/>
      <c r="D107" s="92"/>
      <c r="E107" s="92"/>
      <c r="F107" s="92"/>
      <c r="G107" s="92"/>
      <c r="H107" s="92"/>
      <c r="I107" s="92"/>
      <c r="J107" s="92"/>
      <c r="K107" s="92"/>
      <c r="L107" s="92"/>
      <c r="M107" s="92"/>
      <c r="N107" s="92"/>
      <c r="O107" s="92"/>
      <c r="P107" s="92"/>
      <c r="Q107" s="92"/>
      <c r="R107" s="92"/>
      <c r="S107" s="92"/>
      <c r="T107" s="92"/>
      <c r="U107" s="90"/>
    </row>
    <row r="108" spans="2:21" ht="15" customHeight="1">
      <c r="B108" s="89"/>
      <c r="C108" s="92"/>
      <c r="D108" s="92"/>
      <c r="E108" s="92"/>
      <c r="F108" s="92"/>
      <c r="G108" s="92"/>
      <c r="H108" s="92"/>
      <c r="I108" s="92"/>
      <c r="J108" s="92"/>
      <c r="K108" s="92"/>
      <c r="L108" s="92"/>
      <c r="M108" s="92"/>
      <c r="N108" s="92"/>
      <c r="O108" s="92"/>
      <c r="P108" s="92"/>
      <c r="Q108" s="92"/>
      <c r="R108" s="92"/>
      <c r="S108" s="92"/>
      <c r="T108" s="92"/>
      <c r="U108" s="90"/>
    </row>
    <row r="109" spans="2:21" ht="15" customHeight="1">
      <c r="B109" s="89"/>
      <c r="C109" s="92"/>
      <c r="D109" s="92"/>
      <c r="E109" s="92"/>
      <c r="F109" s="92"/>
      <c r="G109" s="92"/>
      <c r="H109" s="92"/>
      <c r="I109" s="92"/>
      <c r="J109" s="92"/>
      <c r="K109" s="92"/>
      <c r="L109" s="92"/>
      <c r="M109" s="92"/>
      <c r="N109" s="92"/>
      <c r="O109" s="92"/>
      <c r="P109" s="92"/>
      <c r="Q109" s="92"/>
      <c r="R109" s="92"/>
      <c r="S109" s="92"/>
      <c r="T109" s="92"/>
      <c r="U109" s="90"/>
    </row>
    <row r="110" spans="2:21" ht="15" customHeight="1">
      <c r="B110" s="89"/>
      <c r="C110" s="92"/>
      <c r="D110" s="92"/>
      <c r="E110" s="92"/>
      <c r="F110" s="92"/>
      <c r="G110" s="92"/>
      <c r="H110" s="92"/>
      <c r="I110" s="92"/>
      <c r="J110" s="92"/>
      <c r="K110" s="92"/>
      <c r="L110" s="92"/>
      <c r="M110" s="92"/>
      <c r="N110" s="92"/>
      <c r="O110" s="92"/>
      <c r="P110" s="92"/>
      <c r="Q110" s="92"/>
      <c r="R110" s="92"/>
      <c r="S110" s="92"/>
      <c r="T110" s="92"/>
      <c r="U110" s="90"/>
    </row>
    <row r="111" spans="2:21" ht="15" customHeight="1">
      <c r="B111" s="89"/>
      <c r="C111" s="92"/>
      <c r="D111" s="92"/>
      <c r="E111" s="92"/>
      <c r="F111" s="92"/>
      <c r="G111" s="92"/>
      <c r="H111" s="92"/>
      <c r="I111" s="92"/>
      <c r="J111" s="92"/>
      <c r="K111" s="92"/>
      <c r="L111" s="92"/>
      <c r="M111" s="92"/>
      <c r="N111" s="92"/>
      <c r="O111" s="92"/>
      <c r="P111" s="92"/>
      <c r="Q111" s="92"/>
      <c r="R111" s="92"/>
      <c r="S111" s="92"/>
      <c r="T111" s="92"/>
      <c r="U111" s="90"/>
    </row>
    <row r="112" spans="2:21" ht="15.75" thickBot="1">
      <c r="B112" s="89"/>
      <c r="C112" s="91"/>
      <c r="D112" s="91"/>
      <c r="E112" s="91"/>
      <c r="F112" s="91"/>
      <c r="G112" s="91"/>
      <c r="H112" s="91"/>
      <c r="I112" s="91"/>
      <c r="J112" s="91"/>
      <c r="K112" s="91"/>
      <c r="L112" s="91"/>
      <c r="M112" s="91"/>
      <c r="N112" s="91"/>
      <c r="O112" s="91"/>
      <c r="P112" s="91"/>
      <c r="Q112" s="91"/>
      <c r="R112" s="91"/>
      <c r="S112" s="91"/>
      <c r="T112" s="91"/>
      <c r="U112" s="90"/>
    </row>
    <row r="113" spans="2:21" ht="15.75" thickBot="1">
      <c r="B113" s="89"/>
      <c r="C113" s="447" t="s">
        <v>193</v>
      </c>
      <c r="D113" s="448"/>
      <c r="E113" s="448"/>
      <c r="F113" s="448"/>
      <c r="G113" s="448"/>
      <c r="H113" s="448"/>
      <c r="I113" s="448"/>
      <c r="J113" s="448"/>
      <c r="K113" s="448"/>
      <c r="L113" s="448"/>
      <c r="M113" s="448"/>
      <c r="N113" s="448"/>
      <c r="O113" s="448"/>
      <c r="P113" s="448"/>
      <c r="Q113" s="448"/>
      <c r="R113" s="448"/>
      <c r="S113" s="448"/>
      <c r="T113" s="449"/>
      <c r="U113" s="90"/>
    </row>
    <row r="114" spans="2:21" ht="15" customHeight="1">
      <c r="B114" s="89"/>
      <c r="C114" s="438" t="s">
        <v>192</v>
      </c>
      <c r="D114" s="439"/>
      <c r="E114" s="439"/>
      <c r="F114" s="439"/>
      <c r="G114" s="439"/>
      <c r="H114" s="439"/>
      <c r="I114" s="439"/>
      <c r="J114" s="439"/>
      <c r="K114" s="439"/>
      <c r="L114" s="439"/>
      <c r="M114" s="439"/>
      <c r="N114" s="439"/>
      <c r="O114" s="439"/>
      <c r="P114" s="439"/>
      <c r="Q114" s="439"/>
      <c r="R114" s="439"/>
      <c r="S114" s="439"/>
      <c r="T114" s="440"/>
      <c r="U114" s="90"/>
    </row>
    <row r="115" spans="2:21" ht="15">
      <c r="B115" s="89"/>
      <c r="C115" s="441"/>
      <c r="D115" s="442"/>
      <c r="E115" s="442"/>
      <c r="F115" s="442"/>
      <c r="G115" s="442"/>
      <c r="H115" s="442"/>
      <c r="I115" s="442"/>
      <c r="J115" s="442"/>
      <c r="K115" s="442"/>
      <c r="L115" s="442"/>
      <c r="M115" s="442"/>
      <c r="N115" s="442"/>
      <c r="O115" s="442"/>
      <c r="P115" s="442"/>
      <c r="Q115" s="442"/>
      <c r="R115" s="442"/>
      <c r="S115" s="442"/>
      <c r="T115" s="443"/>
      <c r="U115" s="90"/>
    </row>
    <row r="116" spans="2:21" ht="15.75" thickBot="1">
      <c r="B116" s="89"/>
      <c r="C116" s="444"/>
      <c r="D116" s="445"/>
      <c r="E116" s="445"/>
      <c r="F116" s="445"/>
      <c r="G116" s="445"/>
      <c r="H116" s="445"/>
      <c r="I116" s="445"/>
      <c r="J116" s="445"/>
      <c r="K116" s="445"/>
      <c r="L116" s="445"/>
      <c r="M116" s="445"/>
      <c r="N116" s="445"/>
      <c r="O116" s="445"/>
      <c r="P116" s="445"/>
      <c r="Q116" s="445"/>
      <c r="R116" s="445"/>
      <c r="S116" s="445"/>
      <c r="T116" s="446"/>
      <c r="U116" s="90"/>
    </row>
    <row r="117" spans="2:21" ht="15.75" thickBot="1">
      <c r="B117" s="89"/>
      <c r="C117" s="99"/>
      <c r="D117" s="99"/>
      <c r="E117" s="99"/>
      <c r="F117" s="99"/>
      <c r="G117" s="99"/>
      <c r="H117" s="99"/>
      <c r="I117" s="99"/>
      <c r="J117" s="99"/>
      <c r="K117" s="99"/>
      <c r="L117" s="99"/>
      <c r="M117" s="99"/>
      <c r="N117" s="99"/>
      <c r="O117" s="99"/>
      <c r="P117" s="99"/>
      <c r="Q117" s="99"/>
      <c r="R117" s="99"/>
      <c r="S117" s="99"/>
      <c r="T117" s="99"/>
      <c r="U117" s="90"/>
    </row>
    <row r="118" spans="2:21" ht="15" customHeight="1">
      <c r="B118" s="89"/>
      <c r="C118" s="450" t="s">
        <v>226</v>
      </c>
      <c r="D118" s="451"/>
      <c r="E118" s="451"/>
      <c r="F118" s="451"/>
      <c r="G118" s="451"/>
      <c r="H118" s="451"/>
      <c r="I118" s="451"/>
      <c r="J118" s="451"/>
      <c r="K118" s="451"/>
      <c r="L118" s="451"/>
      <c r="M118" s="451"/>
      <c r="N118" s="451"/>
      <c r="O118" s="452" t="s">
        <v>227</v>
      </c>
      <c r="P118" s="452"/>
      <c r="Q118" s="452"/>
      <c r="R118" s="452"/>
      <c r="S118" s="452"/>
      <c r="T118" s="453"/>
      <c r="U118" s="90"/>
    </row>
    <row r="119" spans="2:21" ht="15.75" customHeight="1" thickBot="1">
      <c r="B119" s="89"/>
      <c r="C119" s="431" t="s">
        <v>228</v>
      </c>
      <c r="D119" s="432"/>
      <c r="E119" s="432"/>
      <c r="F119" s="432"/>
      <c r="G119" s="432"/>
      <c r="H119" s="432"/>
      <c r="I119" s="432"/>
      <c r="J119" s="432"/>
      <c r="K119" s="432"/>
      <c r="L119" s="432"/>
      <c r="M119" s="432"/>
      <c r="N119" s="432"/>
      <c r="O119" s="433" t="s">
        <v>229</v>
      </c>
      <c r="P119" s="433"/>
      <c r="Q119" s="433"/>
      <c r="R119" s="433"/>
      <c r="S119" s="433"/>
      <c r="T119" s="434"/>
      <c r="U119" s="90"/>
    </row>
    <row r="120" spans="2:21" ht="15.75" thickBot="1">
      <c r="B120" s="100"/>
      <c r="C120" s="101"/>
      <c r="D120" s="101"/>
      <c r="E120" s="101"/>
      <c r="F120" s="101"/>
      <c r="G120" s="101"/>
      <c r="H120" s="101"/>
      <c r="I120" s="101"/>
      <c r="J120" s="101"/>
      <c r="K120" s="101"/>
      <c r="L120" s="101"/>
      <c r="M120" s="101"/>
      <c r="N120" s="101"/>
      <c r="O120" s="101"/>
      <c r="P120" s="101"/>
      <c r="Q120" s="101"/>
      <c r="R120" s="101"/>
      <c r="S120" s="101"/>
      <c r="T120" s="101"/>
      <c r="U120" s="102"/>
    </row>
    <row r="140" ht="15">
      <c r="C140" s="103"/>
    </row>
    <row r="141" ht="15">
      <c r="C141" s="104"/>
    </row>
    <row r="142" ht="15">
      <c r="C142" s="104"/>
    </row>
    <row r="143" ht="15">
      <c r="C143" s="104"/>
    </row>
    <row r="144" ht="15">
      <c r="C144" s="104"/>
    </row>
  </sheetData>
  <sheetProtection password="E7B2" sheet="1"/>
  <mergeCells count="100">
    <mergeCell ref="C3:F3"/>
    <mergeCell ref="C119:N119"/>
    <mergeCell ref="O119:T119"/>
    <mergeCell ref="C35:T36"/>
    <mergeCell ref="C114:T116"/>
    <mergeCell ref="C113:T113"/>
    <mergeCell ref="C118:N118"/>
    <mergeCell ref="O118:T118"/>
    <mergeCell ref="R44:S44"/>
    <mergeCell ref="R45:S45"/>
    <mergeCell ref="C29:T30"/>
    <mergeCell ref="C5:T5"/>
    <mergeCell ref="H13:P13"/>
    <mergeCell ref="C18:T25"/>
    <mergeCell ref="C26:T27"/>
    <mergeCell ref="C38:T38"/>
    <mergeCell ref="D42:O42"/>
    <mergeCell ref="D41:O41"/>
    <mergeCell ref="D40:S40"/>
    <mergeCell ref="R41:S41"/>
    <mergeCell ref="R42:S42"/>
    <mergeCell ref="R43:S43"/>
    <mergeCell ref="R61:S61"/>
    <mergeCell ref="R49:S49"/>
    <mergeCell ref="D53:O53"/>
    <mergeCell ref="D54:O54"/>
    <mergeCell ref="D57:O57"/>
    <mergeCell ref="D50:O50"/>
    <mergeCell ref="D51:O51"/>
    <mergeCell ref="D52:O52"/>
    <mergeCell ref="R50:S50"/>
    <mergeCell ref="R51:S51"/>
    <mergeCell ref="P54:Q54"/>
    <mergeCell ref="R52:S52"/>
    <mergeCell ref="R53:S53"/>
    <mergeCell ref="R46:S46"/>
    <mergeCell ref="R62:S62"/>
    <mergeCell ref="R54:S54"/>
    <mergeCell ref="R58:S58"/>
    <mergeCell ref="R57:S57"/>
    <mergeCell ref="R59:S59"/>
    <mergeCell ref="R60:S60"/>
    <mergeCell ref="D43:O43"/>
    <mergeCell ref="D48:O48"/>
    <mergeCell ref="D49:O49"/>
    <mergeCell ref="D47:S47"/>
    <mergeCell ref="P41:Q41"/>
    <mergeCell ref="P42:Q42"/>
    <mergeCell ref="P43:Q43"/>
    <mergeCell ref="P44:Q44"/>
    <mergeCell ref="P45:Q45"/>
    <mergeCell ref="R48:S48"/>
    <mergeCell ref="D45:O45"/>
    <mergeCell ref="D44:O44"/>
    <mergeCell ref="P62:Q62"/>
    <mergeCell ref="P57:Q57"/>
    <mergeCell ref="P58:Q58"/>
    <mergeCell ref="P59:Q59"/>
    <mergeCell ref="P60:Q60"/>
    <mergeCell ref="P61:Q61"/>
    <mergeCell ref="D56:S56"/>
    <mergeCell ref="P50:Q50"/>
    <mergeCell ref="R64:S66"/>
    <mergeCell ref="E66:Q66"/>
    <mergeCell ref="E65:Q65"/>
    <mergeCell ref="D64:Q64"/>
    <mergeCell ref="P46:Q46"/>
    <mergeCell ref="P48:Q48"/>
    <mergeCell ref="P49:Q49"/>
    <mergeCell ref="P51:Q51"/>
    <mergeCell ref="P52:Q52"/>
    <mergeCell ref="P53:Q53"/>
    <mergeCell ref="D70:T70"/>
    <mergeCell ref="D71:T71"/>
    <mergeCell ref="D72:T73"/>
    <mergeCell ref="G75:H75"/>
    <mergeCell ref="C69:T69"/>
    <mergeCell ref="D58:O58"/>
    <mergeCell ref="D59:O59"/>
    <mergeCell ref="D60:O60"/>
    <mergeCell ref="D61:O61"/>
    <mergeCell ref="D62:O62"/>
    <mergeCell ref="N77:O77"/>
    <mergeCell ref="N78:O78"/>
    <mergeCell ref="N79:O79"/>
    <mergeCell ref="N80:O80"/>
    <mergeCell ref="L80:M80"/>
    <mergeCell ref="L79:M79"/>
    <mergeCell ref="L78:M78"/>
    <mergeCell ref="L77:M77"/>
    <mergeCell ref="P3:S3"/>
    <mergeCell ref="G3:O3"/>
    <mergeCell ref="N75:O76"/>
    <mergeCell ref="L75:M76"/>
    <mergeCell ref="G80:K80"/>
    <mergeCell ref="J79:K79"/>
    <mergeCell ref="J78:K78"/>
    <mergeCell ref="G77:K77"/>
    <mergeCell ref="G78:I79"/>
    <mergeCell ref="G76:H76"/>
  </mergeCells>
  <dataValidations count="1">
    <dataValidation type="list" allowBlank="1" showInputMessage="1" showErrorMessage="1" sqref="R67:S68">
      <formula1>$D$65:$D$66</formula1>
    </dataValidation>
  </dataValidations>
  <hyperlinks>
    <hyperlink ref="H13:N13" r:id="rId1" display="Pictures adapted from [1]"/>
    <hyperlink ref="G3:N3" location="'1.Home'!Print_Area" display="Please review disclaimer on the Home tab"/>
    <hyperlink ref="O118:T118" location="'3.Inputs'!Print_Area" display="Inputs"/>
    <hyperlink ref="O119:T119" location="'6.Assumptions &amp; References'!Print_Area" display="Assumptions &amp; References"/>
  </hyperlinks>
  <printOptions gridLines="1"/>
  <pageMargins left="0.7" right="0.7" top="0.75" bottom="0.75" header="0.3" footer="0.3"/>
  <pageSetup horizontalDpi="600" verticalDpi="600" orientation="landscape" paperSize="5" scale="77" r:id="rId3"/>
  <headerFooter>
    <oddHeader>&amp;LECM010a - Energy efficient laptops&amp;R&amp;A</oddHeader>
    <oddFooter>&amp;LLast modified by user: &amp;D&amp;RPage &amp;P of &amp;N</oddFooter>
  </headerFooter>
  <rowBreaks count="2" manualBreakCount="2">
    <brk id="37" min="2" max="19" man="1"/>
    <brk id="81" min="2" max="19" man="1"/>
  </rowBreaks>
  <drawing r:id="rId2"/>
</worksheet>
</file>

<file path=xl/worksheets/sheet3.xml><?xml version="1.0" encoding="utf-8"?>
<worksheet xmlns="http://schemas.openxmlformats.org/spreadsheetml/2006/main" xmlns:r="http://schemas.openxmlformats.org/officeDocument/2006/relationships">
  <dimension ref="B2:L41"/>
  <sheetViews>
    <sheetView workbookViewId="0" topLeftCell="A1">
      <selection activeCell="T20" sqref="T20"/>
    </sheetView>
  </sheetViews>
  <sheetFormatPr defaultColWidth="9.140625" defaultRowHeight="15"/>
  <cols>
    <col min="1" max="2" width="2.8515625" style="44" customWidth="1"/>
    <col min="3" max="3" width="17.140625" style="45" customWidth="1"/>
    <col min="4" max="4" width="17.00390625" style="44" customWidth="1"/>
    <col min="5" max="9" width="18.7109375" style="44" customWidth="1"/>
    <col min="10" max="10" width="11.140625" style="44" bestFit="1" customWidth="1"/>
    <col min="11" max="11" width="13.00390625" style="46" bestFit="1" customWidth="1"/>
    <col min="12" max="12" width="2.8515625" style="44" customWidth="1"/>
    <col min="13" max="16384" width="9.140625" style="44" customWidth="1"/>
  </cols>
  <sheetData>
    <row r="1" ht="15.75" thickBot="1"/>
    <row r="2" spans="2:12" ht="15">
      <c r="B2" s="47"/>
      <c r="C2" s="48"/>
      <c r="D2" s="49"/>
      <c r="E2" s="49"/>
      <c r="F2" s="49"/>
      <c r="G2" s="49"/>
      <c r="H2" s="49"/>
      <c r="I2" s="49"/>
      <c r="J2" s="49"/>
      <c r="K2" s="50"/>
      <c r="L2" s="51"/>
    </row>
    <row r="3" spans="2:12" ht="15">
      <c r="B3" s="52"/>
      <c r="C3" s="500" t="s">
        <v>222</v>
      </c>
      <c r="D3" s="501"/>
      <c r="E3" s="464" t="s">
        <v>230</v>
      </c>
      <c r="F3" s="465"/>
      <c r="G3" s="466"/>
      <c r="H3" s="502" t="s">
        <v>207</v>
      </c>
      <c r="I3" s="503"/>
      <c r="J3" s="503"/>
      <c r="K3" s="53">
        <f>'1.Home'!H10</f>
        <v>40703</v>
      </c>
      <c r="L3" s="54"/>
    </row>
    <row r="4" spans="2:12" ht="15.75" thickBot="1">
      <c r="B4" s="52"/>
      <c r="C4" s="200"/>
      <c r="D4" s="56"/>
      <c r="E4" s="56"/>
      <c r="F4" s="56"/>
      <c r="G4" s="56"/>
      <c r="H4" s="56"/>
      <c r="I4" s="56"/>
      <c r="J4" s="56"/>
      <c r="K4" s="57"/>
      <c r="L4" s="54"/>
    </row>
    <row r="5" spans="2:12" ht="30.75" thickBot="1">
      <c r="B5" s="52"/>
      <c r="C5" s="58" t="s">
        <v>231</v>
      </c>
      <c r="D5" s="470" t="s">
        <v>227</v>
      </c>
      <c r="E5" s="471"/>
      <c r="F5" s="471"/>
      <c r="G5" s="471"/>
      <c r="H5" s="471"/>
      <c r="I5" s="471"/>
      <c r="J5" s="471"/>
      <c r="K5" s="472"/>
      <c r="L5" s="54"/>
    </row>
    <row r="6" spans="2:12" ht="15.75" thickBot="1">
      <c r="B6" s="52"/>
      <c r="C6" s="398" t="s">
        <v>49</v>
      </c>
      <c r="D6" s="399"/>
      <c r="E6" s="399"/>
      <c r="F6" s="399"/>
      <c r="G6" s="399"/>
      <c r="H6" s="399"/>
      <c r="I6" s="399"/>
      <c r="J6" s="399"/>
      <c r="K6" s="400"/>
      <c r="L6" s="54"/>
    </row>
    <row r="7" spans="2:12" ht="15">
      <c r="B7" s="52"/>
      <c r="C7" s="59"/>
      <c r="D7" s="496" t="s">
        <v>50</v>
      </c>
      <c r="E7" s="497"/>
      <c r="F7" s="497"/>
      <c r="G7" s="497"/>
      <c r="H7" s="498"/>
      <c r="I7" s="499"/>
      <c r="J7" s="241">
        <v>50</v>
      </c>
      <c r="K7" s="60" t="s">
        <v>65</v>
      </c>
      <c r="L7" s="54"/>
    </row>
    <row r="8" spans="2:12" ht="15">
      <c r="B8" s="52"/>
      <c r="C8" s="32" t="s">
        <v>233</v>
      </c>
      <c r="D8" s="493" t="s">
        <v>320</v>
      </c>
      <c r="E8" s="374"/>
      <c r="F8" s="374"/>
      <c r="G8" s="374"/>
      <c r="H8" s="494"/>
      <c r="I8" s="495"/>
      <c r="J8" s="39">
        <v>10</v>
      </c>
      <c r="K8" s="107" t="s">
        <v>282</v>
      </c>
      <c r="L8" s="54"/>
    </row>
    <row r="9" spans="2:12" ht="15">
      <c r="B9" s="52"/>
      <c r="C9" s="32" t="s">
        <v>240</v>
      </c>
      <c r="D9" s="482" t="s">
        <v>319</v>
      </c>
      <c r="E9" s="372"/>
      <c r="F9" s="372"/>
      <c r="G9" s="372"/>
      <c r="H9" s="483"/>
      <c r="I9" s="484"/>
      <c r="J9" s="242">
        <v>3</v>
      </c>
      <c r="K9" s="62" t="s">
        <v>36</v>
      </c>
      <c r="L9" s="54"/>
    </row>
    <row r="10" spans="2:12" ht="15">
      <c r="B10" s="52"/>
      <c r="C10" s="32" t="s">
        <v>234</v>
      </c>
      <c r="D10" s="482" t="s">
        <v>135</v>
      </c>
      <c r="E10" s="372"/>
      <c r="F10" s="372"/>
      <c r="G10" s="372"/>
      <c r="H10" s="483"/>
      <c r="I10" s="484"/>
      <c r="J10" s="243">
        <v>4</v>
      </c>
      <c r="K10" s="62" t="s">
        <v>17</v>
      </c>
      <c r="L10" s="54"/>
    </row>
    <row r="11" spans="2:12" ht="15.75" thickBot="1">
      <c r="B11" s="52"/>
      <c r="C11" s="63"/>
      <c r="D11" s="473" t="s">
        <v>235</v>
      </c>
      <c r="E11" s="393"/>
      <c r="F11" s="393"/>
      <c r="G11" s="393"/>
      <c r="H11" s="474"/>
      <c r="I11" s="475"/>
      <c r="J11" s="244">
        <v>50</v>
      </c>
      <c r="K11" s="64" t="s">
        <v>282</v>
      </c>
      <c r="L11" s="54"/>
    </row>
    <row r="12" spans="2:12" ht="15.75" thickBot="1">
      <c r="B12" s="52"/>
      <c r="C12" s="200"/>
      <c r="D12" s="56"/>
      <c r="E12" s="65"/>
      <c r="F12" s="56"/>
      <c r="G12" s="65"/>
      <c r="H12" s="65"/>
      <c r="I12" s="65"/>
      <c r="J12" s="56"/>
      <c r="K12" s="66"/>
      <c r="L12" s="54"/>
    </row>
    <row r="13" spans="2:12" ht="15.75" thickBot="1">
      <c r="B13" s="52"/>
      <c r="C13" s="467" t="s">
        <v>26</v>
      </c>
      <c r="D13" s="468"/>
      <c r="E13" s="468"/>
      <c r="F13" s="468"/>
      <c r="G13" s="468"/>
      <c r="H13" s="468"/>
      <c r="I13" s="468"/>
      <c r="J13" s="468"/>
      <c r="K13" s="469"/>
      <c r="L13" s="54"/>
    </row>
    <row r="14" spans="2:12" ht="15">
      <c r="B14" s="52"/>
      <c r="C14" s="33" t="s">
        <v>236</v>
      </c>
      <c r="D14" s="479" t="s">
        <v>283</v>
      </c>
      <c r="E14" s="402"/>
      <c r="F14" s="402"/>
      <c r="G14" s="402"/>
      <c r="H14" s="480"/>
      <c r="I14" s="481"/>
      <c r="J14" s="67">
        <f>avg_desktop_price_recommended</f>
        <v>500</v>
      </c>
      <c r="K14" s="238"/>
      <c r="L14" s="54"/>
    </row>
    <row r="15" spans="2:12" ht="15">
      <c r="B15" s="52"/>
      <c r="C15" s="68"/>
      <c r="D15" s="508" t="s">
        <v>13</v>
      </c>
      <c r="E15" s="509"/>
      <c r="F15" s="509"/>
      <c r="G15" s="509"/>
      <c r="H15" s="510"/>
      <c r="I15" s="511"/>
      <c r="J15" s="245">
        <v>12</v>
      </c>
      <c r="K15" s="69" t="s">
        <v>1</v>
      </c>
      <c r="L15" s="54"/>
    </row>
    <row r="16" spans="2:12" ht="15">
      <c r="B16" s="52"/>
      <c r="C16" s="68"/>
      <c r="D16" s="508" t="s">
        <v>119</v>
      </c>
      <c r="E16" s="509"/>
      <c r="F16" s="509"/>
      <c r="G16" s="509"/>
      <c r="H16" s="510"/>
      <c r="I16" s="511"/>
      <c r="J16" s="245">
        <v>16</v>
      </c>
      <c r="K16" s="69" t="s">
        <v>2</v>
      </c>
      <c r="L16" s="54"/>
    </row>
    <row r="17" spans="2:12" ht="15">
      <c r="B17" s="52"/>
      <c r="C17" s="68"/>
      <c r="D17" s="508" t="s">
        <v>117</v>
      </c>
      <c r="E17" s="509"/>
      <c r="F17" s="509"/>
      <c r="G17" s="509"/>
      <c r="H17" s="510"/>
      <c r="I17" s="511"/>
      <c r="J17" s="245">
        <v>8</v>
      </c>
      <c r="K17" s="69" t="s">
        <v>2</v>
      </c>
      <c r="L17" s="54"/>
    </row>
    <row r="18" spans="2:12" ht="15">
      <c r="B18" s="52"/>
      <c r="C18" s="68"/>
      <c r="D18" s="508" t="s">
        <v>118</v>
      </c>
      <c r="E18" s="509"/>
      <c r="F18" s="509"/>
      <c r="G18" s="509"/>
      <c r="H18" s="510"/>
      <c r="I18" s="511"/>
      <c r="J18" s="245">
        <v>5</v>
      </c>
      <c r="K18" s="69" t="s">
        <v>3</v>
      </c>
      <c r="L18" s="54"/>
    </row>
    <row r="19" spans="2:12" ht="15">
      <c r="B19" s="52"/>
      <c r="C19" s="32" t="s">
        <v>237</v>
      </c>
      <c r="D19" s="508" t="s">
        <v>10</v>
      </c>
      <c r="E19" s="509"/>
      <c r="F19" s="509"/>
      <c r="G19" s="509"/>
      <c r="H19" s="510"/>
      <c r="I19" s="511"/>
      <c r="J19" s="239">
        <f>'6.Assumptions &amp; References'!D48</f>
        <v>70</v>
      </c>
      <c r="K19" s="69" t="s">
        <v>11</v>
      </c>
      <c r="L19" s="54"/>
    </row>
    <row r="20" spans="2:12" ht="15.75" thickBot="1">
      <c r="B20" s="52"/>
      <c r="C20" s="34" t="s">
        <v>237</v>
      </c>
      <c r="D20" s="504" t="s">
        <v>12</v>
      </c>
      <c r="E20" s="505"/>
      <c r="F20" s="505"/>
      <c r="G20" s="505"/>
      <c r="H20" s="506"/>
      <c r="I20" s="507"/>
      <c r="J20" s="240">
        <f>'6.Assumptions &amp; References'!D49</f>
        <v>4</v>
      </c>
      <c r="K20" s="70" t="s">
        <v>11</v>
      </c>
      <c r="L20" s="54"/>
    </row>
    <row r="21" spans="2:12" ht="15.75" thickBot="1">
      <c r="B21" s="52"/>
      <c r="C21" s="71"/>
      <c r="D21" s="72"/>
      <c r="E21" s="65"/>
      <c r="F21" s="56"/>
      <c r="G21" s="65"/>
      <c r="H21" s="65"/>
      <c r="I21" s="65"/>
      <c r="J21" s="56"/>
      <c r="K21" s="66"/>
      <c r="L21" s="54"/>
    </row>
    <row r="22" spans="2:12" ht="15.75" thickBot="1">
      <c r="B22" s="52"/>
      <c r="C22" s="398" t="s">
        <v>4</v>
      </c>
      <c r="D22" s="399"/>
      <c r="E22" s="399"/>
      <c r="F22" s="399"/>
      <c r="G22" s="399"/>
      <c r="H22" s="399"/>
      <c r="I22" s="399"/>
      <c r="J22" s="399"/>
      <c r="K22" s="400"/>
      <c r="L22" s="54"/>
    </row>
    <row r="23" spans="2:12" ht="15">
      <c r="B23" s="52"/>
      <c r="C23" s="59"/>
      <c r="D23" s="489" t="s">
        <v>14</v>
      </c>
      <c r="E23" s="490"/>
      <c r="F23" s="490"/>
      <c r="G23" s="490"/>
      <c r="H23" s="491"/>
      <c r="I23" s="492"/>
      <c r="J23" s="41">
        <v>6</v>
      </c>
      <c r="K23" s="73" t="s">
        <v>6</v>
      </c>
      <c r="L23" s="54"/>
    </row>
    <row r="24" spans="2:12" ht="15">
      <c r="B24" s="52"/>
      <c r="C24" s="32" t="s">
        <v>238</v>
      </c>
      <c r="D24" s="485" t="s">
        <v>5</v>
      </c>
      <c r="E24" s="486"/>
      <c r="F24" s="486"/>
      <c r="G24" s="486"/>
      <c r="H24" s="487"/>
      <c r="I24" s="488"/>
      <c r="J24" s="42">
        <v>2000</v>
      </c>
      <c r="K24" s="74"/>
      <c r="L24" s="54"/>
    </row>
    <row r="25" spans="2:12" ht="15">
      <c r="B25" s="52"/>
      <c r="C25" s="32" t="s">
        <v>295</v>
      </c>
      <c r="D25" s="482" t="s">
        <v>122</v>
      </c>
      <c r="E25" s="372"/>
      <c r="F25" s="372"/>
      <c r="G25" s="372"/>
      <c r="H25" s="483"/>
      <c r="I25" s="484"/>
      <c r="J25" s="40">
        <f>J23</f>
        <v>6</v>
      </c>
      <c r="K25" s="62" t="s">
        <v>15</v>
      </c>
      <c r="L25" s="54"/>
    </row>
    <row r="26" spans="2:12" ht="15">
      <c r="B26" s="52"/>
      <c r="C26" s="32" t="s">
        <v>238</v>
      </c>
      <c r="D26" s="482" t="s">
        <v>123</v>
      </c>
      <c r="E26" s="372"/>
      <c r="F26" s="372"/>
      <c r="G26" s="372"/>
      <c r="H26" s="483"/>
      <c r="I26" s="484"/>
      <c r="J26" s="43">
        <v>100</v>
      </c>
      <c r="K26" s="62"/>
      <c r="L26" s="54"/>
    </row>
    <row r="27" spans="2:12" ht="15">
      <c r="B27" s="52"/>
      <c r="C27" s="32" t="s">
        <v>237</v>
      </c>
      <c r="D27" s="482" t="s">
        <v>10</v>
      </c>
      <c r="E27" s="372"/>
      <c r="F27" s="372"/>
      <c r="G27" s="372"/>
      <c r="H27" s="483"/>
      <c r="I27" s="484"/>
      <c r="J27" s="37">
        <f>'6.Assumptions &amp; References'!D54</f>
        <v>40</v>
      </c>
      <c r="K27" s="62" t="s">
        <v>11</v>
      </c>
      <c r="L27" s="54"/>
    </row>
    <row r="28" spans="2:12" ht="15.75" thickBot="1">
      <c r="B28" s="52"/>
      <c r="C28" s="34" t="s">
        <v>237</v>
      </c>
      <c r="D28" s="473" t="s">
        <v>12</v>
      </c>
      <c r="E28" s="393"/>
      <c r="F28" s="393"/>
      <c r="G28" s="393"/>
      <c r="H28" s="474"/>
      <c r="I28" s="475"/>
      <c r="J28" s="38">
        <f>'6.Assumptions &amp; References'!D55</f>
        <v>1.5</v>
      </c>
      <c r="K28" s="64" t="s">
        <v>11</v>
      </c>
      <c r="L28" s="54"/>
    </row>
    <row r="29" spans="2:12" ht="15.75" thickBot="1">
      <c r="B29" s="52"/>
      <c r="C29" s="200"/>
      <c r="D29" s="57"/>
      <c r="E29" s="57"/>
      <c r="F29" s="57"/>
      <c r="G29" s="57"/>
      <c r="H29" s="57"/>
      <c r="I29" s="57"/>
      <c r="J29" s="200"/>
      <c r="K29" s="57"/>
      <c r="L29" s="54"/>
    </row>
    <row r="30" spans="2:12" ht="15">
      <c r="B30" s="52"/>
      <c r="C30" s="59"/>
      <c r="D30" s="457" t="s">
        <v>243</v>
      </c>
      <c r="E30" s="458"/>
      <c r="F30" s="458"/>
      <c r="G30" s="458"/>
      <c r="H30" s="458"/>
      <c r="I30" s="458"/>
      <c r="J30" s="458"/>
      <c r="K30" s="459"/>
      <c r="L30" s="54"/>
    </row>
    <row r="31" spans="2:12" ht="15" customHeight="1">
      <c r="B31" s="52"/>
      <c r="C31" s="32" t="s">
        <v>289</v>
      </c>
      <c r="D31" s="75" t="s">
        <v>244</v>
      </c>
      <c r="E31" s="384" t="s">
        <v>292</v>
      </c>
      <c r="F31" s="463"/>
      <c r="G31" s="463"/>
      <c r="H31" s="463"/>
      <c r="I31" s="463"/>
      <c r="J31" s="463"/>
      <c r="K31" s="460" t="s">
        <v>244</v>
      </c>
      <c r="L31" s="54"/>
    </row>
    <row r="32" spans="2:12" ht="15" customHeight="1" thickBot="1">
      <c r="B32" s="52"/>
      <c r="C32" s="34" t="s">
        <v>289</v>
      </c>
      <c r="D32" s="76" t="s">
        <v>245</v>
      </c>
      <c r="E32" s="383" t="s">
        <v>293</v>
      </c>
      <c r="F32" s="462"/>
      <c r="G32" s="462"/>
      <c r="H32" s="462"/>
      <c r="I32" s="462"/>
      <c r="J32" s="462"/>
      <c r="K32" s="461"/>
      <c r="L32" s="54"/>
    </row>
    <row r="33" spans="2:12" ht="15.75" thickBot="1">
      <c r="B33" s="52"/>
      <c r="C33" s="200"/>
      <c r="D33" s="57"/>
      <c r="E33" s="57"/>
      <c r="F33" s="57"/>
      <c r="G33" s="57"/>
      <c r="H33" s="57"/>
      <c r="I33" s="57"/>
      <c r="J33" s="200"/>
      <c r="K33" s="57"/>
      <c r="L33" s="54"/>
    </row>
    <row r="34" spans="2:12" ht="15.75" thickBot="1">
      <c r="B34" s="52"/>
      <c r="C34" s="476" t="s">
        <v>7</v>
      </c>
      <c r="D34" s="477"/>
      <c r="E34" s="477"/>
      <c r="F34" s="477"/>
      <c r="G34" s="477"/>
      <c r="H34" s="477"/>
      <c r="I34" s="477"/>
      <c r="J34" s="477"/>
      <c r="K34" s="478"/>
      <c r="L34" s="54"/>
    </row>
    <row r="35" spans="2:12" ht="15.75" thickBot="1">
      <c r="B35" s="52"/>
      <c r="C35" s="200"/>
      <c r="D35" s="27"/>
      <c r="E35" s="56"/>
      <c r="F35" s="56"/>
      <c r="G35" s="56"/>
      <c r="H35" s="56"/>
      <c r="I35" s="56"/>
      <c r="J35" s="27"/>
      <c r="K35" s="30"/>
      <c r="L35" s="54"/>
    </row>
    <row r="36" spans="2:12" ht="15.75" thickBot="1">
      <c r="B36" s="52"/>
      <c r="C36" s="476" t="s">
        <v>8</v>
      </c>
      <c r="D36" s="477"/>
      <c r="E36" s="477"/>
      <c r="F36" s="477"/>
      <c r="G36" s="477"/>
      <c r="H36" s="477"/>
      <c r="I36" s="477"/>
      <c r="J36" s="477"/>
      <c r="K36" s="478"/>
      <c r="L36" s="54"/>
    </row>
    <row r="37" spans="2:12" ht="15.75" thickBot="1">
      <c r="B37" s="52"/>
      <c r="C37" s="200"/>
      <c r="D37" s="27"/>
      <c r="E37" s="56"/>
      <c r="F37" s="56"/>
      <c r="G37" s="56"/>
      <c r="H37" s="56"/>
      <c r="I37" s="56"/>
      <c r="J37" s="27"/>
      <c r="K37" s="30"/>
      <c r="L37" s="54"/>
    </row>
    <row r="38" spans="2:12" ht="15.75" thickBot="1">
      <c r="B38" s="52"/>
      <c r="C38" s="476" t="s">
        <v>9</v>
      </c>
      <c r="D38" s="477"/>
      <c r="E38" s="477"/>
      <c r="F38" s="477"/>
      <c r="G38" s="477"/>
      <c r="H38" s="477"/>
      <c r="I38" s="477"/>
      <c r="J38" s="477"/>
      <c r="K38" s="478"/>
      <c r="L38" s="54"/>
    </row>
    <row r="39" spans="2:12" ht="15.75" thickBot="1">
      <c r="B39" s="77"/>
      <c r="C39" s="223"/>
      <c r="D39" s="79"/>
      <c r="E39" s="79"/>
      <c r="F39" s="79"/>
      <c r="G39" s="79"/>
      <c r="H39" s="79"/>
      <c r="I39" s="79"/>
      <c r="J39" s="79"/>
      <c r="K39" s="80"/>
      <c r="L39" s="81"/>
    </row>
    <row r="40" spans="9:11" ht="15">
      <c r="I40" s="82"/>
      <c r="J40" s="82"/>
      <c r="K40" s="83"/>
    </row>
    <row r="41" spans="10:11" ht="15">
      <c r="J41" s="82"/>
      <c r="K41" s="83"/>
    </row>
  </sheetData>
  <sheetProtection password="E7B2" sheet="1"/>
  <mergeCells count="32">
    <mergeCell ref="D20:I20"/>
    <mergeCell ref="D19:I19"/>
    <mergeCell ref="D18:I18"/>
    <mergeCell ref="D17:I17"/>
    <mergeCell ref="D16:I16"/>
    <mergeCell ref="D15:I15"/>
    <mergeCell ref="D10:I10"/>
    <mergeCell ref="D9:I9"/>
    <mergeCell ref="D8:I8"/>
    <mergeCell ref="D7:I7"/>
    <mergeCell ref="C3:D3"/>
    <mergeCell ref="H3:J3"/>
    <mergeCell ref="C38:K38"/>
    <mergeCell ref="C36:K36"/>
    <mergeCell ref="C34:K34"/>
    <mergeCell ref="D14:I14"/>
    <mergeCell ref="D28:I28"/>
    <mergeCell ref="D27:I27"/>
    <mergeCell ref="D26:I26"/>
    <mergeCell ref="D25:I25"/>
    <mergeCell ref="D24:I24"/>
    <mergeCell ref="D23:I23"/>
    <mergeCell ref="D30:K30"/>
    <mergeCell ref="K31:K32"/>
    <mergeCell ref="E32:J32"/>
    <mergeCell ref="E31:J31"/>
    <mergeCell ref="E3:G3"/>
    <mergeCell ref="C13:K13"/>
    <mergeCell ref="C22:K22"/>
    <mergeCell ref="C6:K6"/>
    <mergeCell ref="D5:K5"/>
    <mergeCell ref="D11:I11"/>
  </mergeCells>
  <dataValidations count="1">
    <dataValidation type="list" allowBlank="1" showInputMessage="1" showErrorMessage="1" sqref="K31 D30:K30">
      <formula1>$D$31:$D$32</formula1>
    </dataValidation>
  </dataValidations>
  <hyperlinks>
    <hyperlink ref="C36" location="'Projected Savings'!A1" display="Click here to see your projected savings"/>
    <hyperlink ref="C34" location="'Executive Summary'!A1" display="Click here to see a Summary of your Savings"/>
    <hyperlink ref="C38" location="'Assumptions And References'!A1" display="Click here to see the assumptions and references"/>
    <hyperlink ref="J10:K10" r:id="rId1" display="Click here to see when this cost comes into effect"/>
    <hyperlink ref="C34:K34" location="'4.Executive Summary'!A1" display="Click here to see a Summary of your Savings"/>
    <hyperlink ref="C36:K36" location="'5.Projected Savings'!A1" display="Click here to see your projected savings"/>
    <hyperlink ref="C38:K38" location="'6.Assumptions &amp; References'!A1" display="Click here to see the assumptions and references"/>
    <hyperlink ref="C8" location="assump_2" display="Assump2"/>
    <hyperlink ref="C9" location="assump_14" display="Assump14"/>
    <hyperlink ref="C10" location="assump_3" display="Assump3"/>
    <hyperlink ref="C14" location="assump_5" display="Assump5"/>
    <hyperlink ref="C19" location="assump_7" display="Assump7"/>
    <hyperlink ref="C20" location="assump_7" display="Assump7"/>
    <hyperlink ref="C24" location="assump_6" display="Assump6"/>
    <hyperlink ref="C25" location="assump_17" display="Assump17"/>
    <hyperlink ref="C26" location="assump_6" display="Assump6"/>
    <hyperlink ref="C27" location="assump_7" display="Assump7"/>
    <hyperlink ref="C28" location="assump_7" display="Assump7"/>
    <hyperlink ref="C31" location="assump_16" display="Assump16"/>
    <hyperlink ref="C32" location="assump_16" display="Assump16"/>
    <hyperlink ref="E3:G3" location="'1.Home'!Print_Area" display="Please review disclaimer on the Home tab"/>
  </hyperlinks>
  <printOptions/>
  <pageMargins left="0.7" right="0.7" top="0.75" bottom="0.75" header="0.3" footer="0.3"/>
  <pageSetup horizontalDpi="600" verticalDpi="600" orientation="landscape" paperSize="5" scale="87" r:id="rId2"/>
  <headerFooter>
    <oddHeader>&amp;LECM010a - Energy efficient laptops&amp;R&amp;A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Y106"/>
  <sheetViews>
    <sheetView zoomScalePageLayoutView="85" workbookViewId="0" topLeftCell="A1">
      <selection activeCell="L14" sqref="L14"/>
    </sheetView>
  </sheetViews>
  <sheetFormatPr defaultColWidth="9.140625" defaultRowHeight="15"/>
  <cols>
    <col min="1" max="2" width="2.7109375" style="85" customWidth="1"/>
    <col min="3" max="3" width="24.28125" style="85" customWidth="1"/>
    <col min="4" max="4" width="24.28125" style="85" bestFit="1" customWidth="1"/>
    <col min="5" max="5" width="33.7109375" style="85" customWidth="1"/>
    <col min="6" max="6" width="28.8515625" style="85" bestFit="1" customWidth="1"/>
    <col min="7" max="7" width="32.8515625" style="85" bestFit="1" customWidth="1"/>
    <col min="8" max="12" width="9.140625" style="85" customWidth="1"/>
    <col min="13" max="14" width="9.140625" style="104" customWidth="1"/>
    <col min="15" max="15" width="9.7109375" style="85" bestFit="1" customWidth="1"/>
    <col min="16" max="16" width="2.7109375" style="85" customWidth="1"/>
    <col min="17" max="16384" width="9.140625" style="85" customWidth="1"/>
  </cols>
  <sheetData>
    <row r="1" ht="15.75" thickBot="1"/>
    <row r="2" spans="2:16" ht="15">
      <c r="B2" s="86"/>
      <c r="C2" s="87"/>
      <c r="D2" s="87"/>
      <c r="E2" s="87"/>
      <c r="F2" s="87"/>
      <c r="G2" s="87"/>
      <c r="H2" s="87"/>
      <c r="I2" s="87"/>
      <c r="J2" s="87"/>
      <c r="K2" s="87"/>
      <c r="L2" s="87"/>
      <c r="M2" s="87"/>
      <c r="N2" s="87"/>
      <c r="O2" s="87"/>
      <c r="P2" s="88"/>
    </row>
    <row r="3" spans="2:16" ht="15">
      <c r="B3" s="89"/>
      <c r="C3" s="454" t="s">
        <v>222</v>
      </c>
      <c r="D3" s="456"/>
      <c r="E3" s="337" t="s">
        <v>230</v>
      </c>
      <c r="F3" s="338"/>
      <c r="G3" s="338"/>
      <c r="H3" s="338"/>
      <c r="I3" s="338"/>
      <c r="J3" s="339"/>
      <c r="K3" s="335" t="s">
        <v>242</v>
      </c>
      <c r="L3" s="336"/>
      <c r="M3" s="336"/>
      <c r="N3" s="336"/>
      <c r="O3" s="208">
        <f>'1.Home'!H10</f>
        <v>40703</v>
      </c>
      <c r="P3" s="90"/>
    </row>
    <row r="4" spans="2:16" ht="15.75" thickBot="1">
      <c r="B4" s="89"/>
      <c r="C4" s="91"/>
      <c r="D4" s="91"/>
      <c r="E4" s="91"/>
      <c r="F4" s="91"/>
      <c r="G4" s="91"/>
      <c r="H4" s="91"/>
      <c r="I4" s="91"/>
      <c r="J4" s="91"/>
      <c r="K4" s="91"/>
      <c r="L4" s="91"/>
      <c r="M4" s="91"/>
      <c r="N4" s="91"/>
      <c r="O4" s="91"/>
      <c r="P4" s="90"/>
    </row>
    <row r="5" spans="2:16" ht="21.75" thickBot="1">
      <c r="B5" s="89"/>
      <c r="C5" s="421" t="s">
        <v>27</v>
      </c>
      <c r="D5" s="422"/>
      <c r="E5" s="422"/>
      <c r="F5" s="422"/>
      <c r="G5" s="422"/>
      <c r="H5" s="422"/>
      <c r="I5" s="422"/>
      <c r="J5" s="422"/>
      <c r="K5" s="422"/>
      <c r="L5" s="422"/>
      <c r="M5" s="422"/>
      <c r="N5" s="422"/>
      <c r="O5" s="423"/>
      <c r="P5" s="90"/>
    </row>
    <row r="6" spans="2:16" ht="15">
      <c r="B6" s="89"/>
      <c r="C6" s="91"/>
      <c r="D6" s="91"/>
      <c r="E6" s="91"/>
      <c r="F6" s="91"/>
      <c r="G6" s="91"/>
      <c r="H6" s="91"/>
      <c r="I6" s="91"/>
      <c r="J6" s="91"/>
      <c r="K6" s="91"/>
      <c r="L6" s="91"/>
      <c r="M6" s="91"/>
      <c r="N6" s="91"/>
      <c r="O6" s="91"/>
      <c r="P6" s="90"/>
    </row>
    <row r="7" spans="2:16" ht="15">
      <c r="B7" s="89"/>
      <c r="C7" s="365" t="s">
        <v>314</v>
      </c>
      <c r="D7" s="365"/>
      <c r="E7" s="365"/>
      <c r="F7" s="365"/>
      <c r="G7" s="365"/>
      <c r="H7" s="365"/>
      <c r="I7" s="365"/>
      <c r="J7" s="365"/>
      <c r="K7" s="365"/>
      <c r="L7" s="365"/>
      <c r="M7" s="365"/>
      <c r="N7" s="365"/>
      <c r="O7" s="365"/>
      <c r="P7" s="90"/>
    </row>
    <row r="8" spans="2:16" ht="15">
      <c r="B8" s="89"/>
      <c r="C8" s="366" t="str">
        <f>"- By replacing "&amp;TEXT('5.Projected Savings'!G8,"0")&amp;" computers with energy efficient laptops and docking stations instead of your current model PC, your company can save "&amp;TEXT('5.Projected Savings'!G33,"$0.00")&amp;" on electricity in the first year"</f>
        <v>- By replacing 6 computers with energy efficient laptops and docking stations instead of your current model PC, your company can save $37.72 on electricity in the first year</v>
      </c>
      <c r="D8" s="366"/>
      <c r="E8" s="366"/>
      <c r="F8" s="366"/>
      <c r="G8" s="366"/>
      <c r="H8" s="366"/>
      <c r="I8" s="366"/>
      <c r="J8" s="366"/>
      <c r="K8" s="366"/>
      <c r="L8" s="366"/>
      <c r="M8" s="366"/>
      <c r="N8" s="366"/>
      <c r="O8" s="366"/>
      <c r="P8" s="90"/>
    </row>
    <row r="9" spans="2:16" ht="15">
      <c r="B9" s="89"/>
      <c r="C9" s="367" t="str">
        <f>TEXT("- Accompanying this decrease in electricity costs, the inherent mobility of a laptop will allow employees to work remotely, leading to an estimated increase in annual revenue of ","text")&amp;TEXT('5.Projected Savings'!G41,"$#,###")&amp;TEXT(" annually for the company.","text")</f>
        <v>- Accompanying this decrease in electricity costs, the inherent mobility of a laptop will allow employees to work remotely, leading to an estimated increase in annual revenue of $9,000 annually for the company.</v>
      </c>
      <c r="D9" s="367"/>
      <c r="E9" s="367"/>
      <c r="F9" s="367"/>
      <c r="G9" s="367"/>
      <c r="H9" s="367"/>
      <c r="I9" s="367"/>
      <c r="J9" s="367"/>
      <c r="K9" s="367"/>
      <c r="L9" s="367"/>
      <c r="M9" s="367"/>
      <c r="N9" s="367"/>
      <c r="O9" s="367"/>
      <c r="P9" s="90"/>
    </row>
    <row r="10" spans="2:16" ht="15.75" thickBot="1">
      <c r="B10" s="89"/>
      <c r="C10" s="91"/>
      <c r="D10" s="91"/>
      <c r="E10" s="91"/>
      <c r="F10" s="91"/>
      <c r="G10" s="91"/>
      <c r="H10" s="91"/>
      <c r="I10" s="91"/>
      <c r="J10" s="91"/>
      <c r="K10" s="91"/>
      <c r="L10" s="91"/>
      <c r="M10" s="91"/>
      <c r="N10" s="91"/>
      <c r="O10" s="91"/>
      <c r="P10" s="90"/>
    </row>
    <row r="11" spans="2:16" ht="18.75" customHeight="1">
      <c r="B11" s="89"/>
      <c r="C11" s="97" t="s">
        <v>299</v>
      </c>
      <c r="D11" s="355"/>
      <c r="E11" s="355"/>
      <c r="F11" s="344" t="s">
        <v>329</v>
      </c>
      <c r="G11" s="341" t="s">
        <v>328</v>
      </c>
      <c r="H11"/>
      <c r="I11" s="98"/>
      <c r="J11" s="98"/>
      <c r="K11" s="98"/>
      <c r="L11" s="98"/>
      <c r="M11" s="98"/>
      <c r="N11" s="98"/>
      <c r="O11" s="98"/>
      <c r="P11" s="90"/>
    </row>
    <row r="12" spans="2:16" ht="18.75" customHeight="1" thickBot="1">
      <c r="B12" s="89"/>
      <c r="C12" s="97"/>
      <c r="D12" s="355"/>
      <c r="E12" s="355"/>
      <c r="F12" s="515"/>
      <c r="G12" s="512"/>
      <c r="H12"/>
      <c r="I12" s="98"/>
      <c r="J12" s="98"/>
      <c r="K12" s="98"/>
      <c r="L12" s="98"/>
      <c r="M12" s="98"/>
      <c r="N12" s="98"/>
      <c r="O12" s="98"/>
      <c r="P12" s="90"/>
    </row>
    <row r="13" spans="2:16" ht="18.75" customHeight="1">
      <c r="B13" s="89"/>
      <c r="C13" s="97"/>
      <c r="D13" s="351" t="s">
        <v>309</v>
      </c>
      <c r="E13" s="513"/>
      <c r="F13" s="230">
        <f>'5.Projected Savings'!F100</f>
        <v>32066.947027433336</v>
      </c>
      <c r="G13" s="233">
        <f>'5.Projected Savings'!G100</f>
        <v>-10626.807378274054</v>
      </c>
      <c r="H13"/>
      <c r="I13" s="98"/>
      <c r="J13" s="98"/>
      <c r="K13" s="98"/>
      <c r="L13" s="98"/>
      <c r="M13" s="98"/>
      <c r="N13" s="98"/>
      <c r="O13" s="98"/>
      <c r="P13" s="90"/>
    </row>
    <row r="14" spans="2:16" ht="30">
      <c r="B14" s="89"/>
      <c r="C14" s="91"/>
      <c r="D14" s="354" t="s">
        <v>247</v>
      </c>
      <c r="E14" s="227" t="s">
        <v>248</v>
      </c>
      <c r="F14" s="246">
        <f>'5.Projected Savings'!F101</f>
        <v>0.6505820965915794</v>
      </c>
      <c r="G14" s="236">
        <f>'5.Projected Savings'!G101</f>
        <v>-0.8413954429855633</v>
      </c>
      <c r="H14"/>
      <c r="I14" s="98"/>
      <c r="J14" s="98"/>
      <c r="K14" s="98"/>
      <c r="L14" s="98"/>
      <c r="M14" s="98"/>
      <c r="N14" s="98"/>
      <c r="O14" s="98"/>
      <c r="P14" s="90"/>
    </row>
    <row r="15" spans="2:16" ht="18.75" customHeight="1">
      <c r="B15" s="89"/>
      <c r="C15" s="91"/>
      <c r="D15" s="354"/>
      <c r="E15" s="227" t="s">
        <v>249</v>
      </c>
      <c r="F15" s="246">
        <f>'5.Projected Savings'!F102</f>
        <v>0.7912834276003071</v>
      </c>
      <c r="G15" s="236">
        <f>'5.Projected Savings'!G102</f>
        <v>-0.6488341056968949</v>
      </c>
      <c r="H15"/>
      <c r="I15" s="98"/>
      <c r="J15" s="98"/>
      <c r="K15" s="98"/>
      <c r="L15" s="98"/>
      <c r="M15" s="98"/>
      <c r="N15" s="98"/>
      <c r="O15" s="98"/>
      <c r="P15" s="90"/>
    </row>
    <row r="16" spans="2:16" ht="19.5" thickBot="1">
      <c r="B16" s="89"/>
      <c r="C16" s="91"/>
      <c r="D16" s="346" t="s">
        <v>310</v>
      </c>
      <c r="E16" s="514"/>
      <c r="F16" s="229">
        <f>'5.Projected Savings'!F103</f>
        <v>1.195337095181362</v>
      </c>
      <c r="G16" s="235">
        <f>'5.Projected Savings'!G103</f>
        <v>307.62037185150535</v>
      </c>
      <c r="H16"/>
      <c r="I16" s="98"/>
      <c r="J16" s="98"/>
      <c r="K16" s="98"/>
      <c r="L16" s="98"/>
      <c r="M16" s="98"/>
      <c r="N16" s="98"/>
      <c r="O16" s="98"/>
      <c r="P16" s="90"/>
    </row>
    <row r="17" spans="2:16" ht="18.75">
      <c r="B17" s="89"/>
      <c r="C17"/>
      <c r="D17"/>
      <c r="E17"/>
      <c r="F17"/>
      <c r="G17"/>
      <c r="H17"/>
      <c r="I17" s="98"/>
      <c r="J17" s="98"/>
      <c r="K17" s="98"/>
      <c r="L17" s="98"/>
      <c r="M17" s="98"/>
      <c r="N17" s="98"/>
      <c r="O17" s="98"/>
      <c r="P17" s="90"/>
    </row>
    <row r="18" spans="2:16" ht="18.75">
      <c r="B18" s="89"/>
      <c r="C18" s="97"/>
      <c r="D18" s="98"/>
      <c r="E18" s="98"/>
      <c r="F18" s="98"/>
      <c r="G18" s="98"/>
      <c r="H18" s="98"/>
      <c r="I18" s="98"/>
      <c r="J18" s="98"/>
      <c r="K18" s="98"/>
      <c r="L18" s="98"/>
      <c r="M18" s="98"/>
      <c r="N18" s="98"/>
      <c r="O18" s="98"/>
      <c r="P18" s="90"/>
    </row>
    <row r="19" spans="2:16" ht="18.75">
      <c r="B19" s="89"/>
      <c r="C19" s="97"/>
      <c r="D19" s="98"/>
      <c r="E19" s="98"/>
      <c r="F19" s="98"/>
      <c r="G19" s="98"/>
      <c r="H19" s="98"/>
      <c r="I19" s="98"/>
      <c r="J19" s="98"/>
      <c r="K19" s="98"/>
      <c r="L19" s="98"/>
      <c r="M19" s="98"/>
      <c r="N19" s="98"/>
      <c r="O19" s="98"/>
      <c r="P19" s="90"/>
    </row>
    <row r="20" spans="2:16" ht="18.75">
      <c r="B20" s="89"/>
      <c r="C20" s="97"/>
      <c r="D20" s="98"/>
      <c r="E20" s="98"/>
      <c r="F20" s="98"/>
      <c r="G20" s="98"/>
      <c r="H20" s="98"/>
      <c r="I20" s="91"/>
      <c r="J20" s="98"/>
      <c r="K20" s="98"/>
      <c r="L20" s="98"/>
      <c r="M20" s="98"/>
      <c r="N20" s="98"/>
      <c r="O20" s="98"/>
      <c r="P20" s="90"/>
    </row>
    <row r="21" spans="2:16" ht="18.75">
      <c r="B21" s="89"/>
      <c r="C21" s="97"/>
      <c r="D21" s="98"/>
      <c r="E21" s="98"/>
      <c r="F21" s="98"/>
      <c r="G21" s="98"/>
      <c r="H21" s="98"/>
      <c r="I21" s="91"/>
      <c r="J21" s="98"/>
      <c r="K21" s="98"/>
      <c r="L21" s="98"/>
      <c r="M21" s="98"/>
      <c r="N21" s="98"/>
      <c r="O21" s="98"/>
      <c r="P21" s="90"/>
    </row>
    <row r="22" spans="2:16" ht="15">
      <c r="B22" s="105"/>
      <c r="C22" s="106"/>
      <c r="D22" s="106"/>
      <c r="E22" s="106"/>
      <c r="F22" s="106"/>
      <c r="G22" s="106"/>
      <c r="H22" s="106"/>
      <c r="I22" s="91"/>
      <c r="J22" s="106"/>
      <c r="K22" s="106"/>
      <c r="L22" s="106"/>
      <c r="M22" s="106"/>
      <c r="N22" s="106"/>
      <c r="O22" s="106"/>
      <c r="P22" s="107"/>
    </row>
    <row r="23" spans="2:16" ht="15">
      <c r="B23" s="105"/>
      <c r="C23" s="106"/>
      <c r="D23" s="106"/>
      <c r="E23" s="106"/>
      <c r="F23" s="106"/>
      <c r="G23" s="106"/>
      <c r="H23" s="106"/>
      <c r="I23" s="106"/>
      <c r="J23" s="106"/>
      <c r="K23" s="106"/>
      <c r="L23" s="106"/>
      <c r="M23" s="106"/>
      <c r="N23" s="106"/>
      <c r="O23" s="106"/>
      <c r="P23" s="107"/>
    </row>
    <row r="24" spans="2:16" ht="15">
      <c r="B24" s="105"/>
      <c r="C24" s="106"/>
      <c r="D24" s="106"/>
      <c r="E24" s="106"/>
      <c r="F24" s="106"/>
      <c r="G24" s="106"/>
      <c r="H24" s="106"/>
      <c r="I24" s="106"/>
      <c r="J24" s="106"/>
      <c r="K24" s="106"/>
      <c r="L24" s="106"/>
      <c r="M24" s="106"/>
      <c r="N24" s="106"/>
      <c r="O24" s="106"/>
      <c r="P24" s="107"/>
    </row>
    <row r="25" spans="2:16" ht="15">
      <c r="B25" s="105"/>
      <c r="C25" s="106"/>
      <c r="D25" s="106"/>
      <c r="E25" s="106"/>
      <c r="F25" s="106"/>
      <c r="G25" s="106"/>
      <c r="H25" s="106"/>
      <c r="I25" s="106"/>
      <c r="J25" s="106"/>
      <c r="K25" s="106"/>
      <c r="L25" s="106"/>
      <c r="M25" s="106"/>
      <c r="N25" s="106"/>
      <c r="O25" s="106"/>
      <c r="P25" s="107"/>
    </row>
    <row r="26" spans="2:16" ht="15">
      <c r="B26" s="105"/>
      <c r="C26" s="106"/>
      <c r="D26" s="106"/>
      <c r="E26" s="106"/>
      <c r="F26" s="106"/>
      <c r="G26" s="106"/>
      <c r="H26" s="106"/>
      <c r="I26" s="106"/>
      <c r="J26" s="106"/>
      <c r="K26" s="106"/>
      <c r="L26" s="106"/>
      <c r="M26" s="106"/>
      <c r="N26" s="106"/>
      <c r="O26" s="106"/>
      <c r="P26" s="107"/>
    </row>
    <row r="27" spans="2:16" ht="15">
      <c r="B27" s="105"/>
      <c r="C27" s="106"/>
      <c r="D27" s="106"/>
      <c r="E27" s="106"/>
      <c r="F27" s="106"/>
      <c r="G27" s="106"/>
      <c r="H27" s="106"/>
      <c r="I27" s="106"/>
      <c r="J27" s="106"/>
      <c r="K27" s="106"/>
      <c r="L27" s="106"/>
      <c r="M27" s="106"/>
      <c r="N27" s="106"/>
      <c r="O27" s="106"/>
      <c r="P27" s="107"/>
    </row>
    <row r="28" spans="2:16" ht="15">
      <c r="B28" s="89"/>
      <c r="C28" s="108"/>
      <c r="D28" s="109"/>
      <c r="E28" s="109"/>
      <c r="F28" s="109"/>
      <c r="G28" s="109"/>
      <c r="H28" s="109"/>
      <c r="I28" s="91"/>
      <c r="J28" s="91"/>
      <c r="K28" s="91"/>
      <c r="L28" s="91"/>
      <c r="M28" s="91"/>
      <c r="N28" s="91"/>
      <c r="O28" s="91"/>
      <c r="P28" s="90"/>
    </row>
    <row r="29" spans="2:25" s="111" customFormat="1" ht="18.75">
      <c r="B29" s="110"/>
      <c r="C29" s="106"/>
      <c r="D29" s="106"/>
      <c r="E29" s="106"/>
      <c r="F29" s="106"/>
      <c r="G29" s="106"/>
      <c r="H29" s="106"/>
      <c r="I29" s="106"/>
      <c r="J29" s="106"/>
      <c r="K29" s="106"/>
      <c r="L29" s="106"/>
      <c r="M29" s="106"/>
      <c r="N29" s="106"/>
      <c r="O29" s="106"/>
      <c r="P29" s="107"/>
      <c r="Q29" s="85"/>
      <c r="R29" s="85"/>
      <c r="Y29" s="85"/>
    </row>
    <row r="30" spans="2:16" ht="15">
      <c r="B30" s="89"/>
      <c r="C30" s="106"/>
      <c r="D30" s="106"/>
      <c r="E30" s="106"/>
      <c r="F30" s="106"/>
      <c r="G30" s="106"/>
      <c r="H30" s="106"/>
      <c r="I30" s="106"/>
      <c r="J30" s="106"/>
      <c r="K30" s="106"/>
      <c r="L30" s="106"/>
      <c r="M30" s="106"/>
      <c r="N30" s="106"/>
      <c r="O30" s="106"/>
      <c r="P30" s="107"/>
    </row>
    <row r="31" spans="2:16" ht="15">
      <c r="B31" s="89"/>
      <c r="C31" s="106"/>
      <c r="D31" s="106"/>
      <c r="E31" s="106"/>
      <c r="F31" s="106"/>
      <c r="G31" s="106"/>
      <c r="H31" s="106"/>
      <c r="I31" s="106"/>
      <c r="J31" s="106"/>
      <c r="K31" s="106"/>
      <c r="L31" s="106"/>
      <c r="M31" s="106"/>
      <c r="N31" s="106"/>
      <c r="O31" s="106"/>
      <c r="P31" s="107"/>
    </row>
    <row r="32" spans="2:16" ht="15">
      <c r="B32" s="89"/>
      <c r="C32" s="106"/>
      <c r="D32" s="106"/>
      <c r="E32" s="106"/>
      <c r="F32" s="106"/>
      <c r="G32" s="106"/>
      <c r="H32" s="106"/>
      <c r="I32" s="106"/>
      <c r="J32" s="106"/>
      <c r="K32" s="106"/>
      <c r="L32" s="106"/>
      <c r="M32" s="106"/>
      <c r="N32" s="106"/>
      <c r="O32" s="106"/>
      <c r="P32" s="107"/>
    </row>
    <row r="33" spans="2:16" ht="15">
      <c r="B33" s="89"/>
      <c r="C33" s="106"/>
      <c r="D33" s="106"/>
      <c r="E33" s="106"/>
      <c r="F33" s="106"/>
      <c r="G33" s="106"/>
      <c r="H33" s="106"/>
      <c r="I33" s="106"/>
      <c r="J33" s="106"/>
      <c r="K33" s="106"/>
      <c r="L33" s="106"/>
      <c r="M33" s="106"/>
      <c r="N33" s="106"/>
      <c r="O33" s="106"/>
      <c r="P33" s="107"/>
    </row>
    <row r="34" spans="2:16" ht="15">
      <c r="B34" s="89"/>
      <c r="C34" s="106"/>
      <c r="D34" s="106"/>
      <c r="E34" s="106"/>
      <c r="F34" s="106"/>
      <c r="G34" s="106"/>
      <c r="H34" s="106"/>
      <c r="I34" s="106"/>
      <c r="J34" s="106"/>
      <c r="K34" s="106"/>
      <c r="L34" s="106"/>
      <c r="M34" s="106"/>
      <c r="N34" s="106"/>
      <c r="O34" s="106"/>
      <c r="P34" s="107"/>
    </row>
    <row r="35" spans="2:16" ht="15">
      <c r="B35" s="89"/>
      <c r="C35" s="106"/>
      <c r="D35" s="106"/>
      <c r="E35" s="106"/>
      <c r="F35" s="106"/>
      <c r="G35" s="106"/>
      <c r="H35" s="106"/>
      <c r="I35" s="106"/>
      <c r="J35" s="106"/>
      <c r="K35" s="106"/>
      <c r="L35" s="106"/>
      <c r="M35" s="106"/>
      <c r="N35" s="106"/>
      <c r="O35" s="106"/>
      <c r="P35" s="107"/>
    </row>
    <row r="36" spans="2:16" ht="15">
      <c r="B36" s="89"/>
      <c r="C36" s="106"/>
      <c r="D36" s="106"/>
      <c r="E36" s="106"/>
      <c r="F36" s="106"/>
      <c r="G36" s="106"/>
      <c r="H36" s="106"/>
      <c r="I36" s="106"/>
      <c r="J36" s="106"/>
      <c r="K36" s="106"/>
      <c r="L36" s="106"/>
      <c r="M36" s="106"/>
      <c r="N36" s="106"/>
      <c r="O36" s="106"/>
      <c r="P36" s="107"/>
    </row>
    <row r="37" spans="2:18" s="111" customFormat="1" ht="18.75">
      <c r="B37" s="110"/>
      <c r="C37" s="106"/>
      <c r="D37" s="106"/>
      <c r="E37" s="106"/>
      <c r="F37" s="106"/>
      <c r="G37" s="106"/>
      <c r="H37" s="106"/>
      <c r="I37" s="106"/>
      <c r="J37" s="106"/>
      <c r="K37" s="106"/>
      <c r="L37" s="106"/>
      <c r="M37" s="106"/>
      <c r="N37" s="106"/>
      <c r="O37" s="106"/>
      <c r="P37" s="107"/>
      <c r="Q37" s="85"/>
      <c r="R37" s="85"/>
    </row>
    <row r="38" spans="2:16" ht="15">
      <c r="B38" s="89"/>
      <c r="C38" s="106"/>
      <c r="D38" s="106"/>
      <c r="E38" s="106"/>
      <c r="F38" s="106"/>
      <c r="G38" s="106"/>
      <c r="H38" s="106"/>
      <c r="I38" s="106"/>
      <c r="J38" s="106"/>
      <c r="K38" s="106"/>
      <c r="L38" s="106"/>
      <c r="M38" s="106"/>
      <c r="N38" s="106"/>
      <c r="O38" s="106"/>
      <c r="P38" s="107"/>
    </row>
    <row r="39" spans="2:16" ht="15">
      <c r="B39" s="89"/>
      <c r="C39" s="106"/>
      <c r="D39" s="106"/>
      <c r="E39" s="106"/>
      <c r="F39" s="106"/>
      <c r="G39" s="106"/>
      <c r="H39" s="106"/>
      <c r="I39" s="106"/>
      <c r="J39" s="106"/>
      <c r="K39" s="106"/>
      <c r="L39" s="106"/>
      <c r="M39" s="106"/>
      <c r="N39" s="106"/>
      <c r="O39" s="106"/>
      <c r="P39" s="107"/>
    </row>
    <row r="40" spans="2:16" ht="15">
      <c r="B40" s="89"/>
      <c r="C40" s="106"/>
      <c r="D40" s="106"/>
      <c r="E40" s="106"/>
      <c r="F40" s="106"/>
      <c r="G40" s="106"/>
      <c r="H40" s="106"/>
      <c r="I40" s="106"/>
      <c r="J40" s="106"/>
      <c r="K40" s="106"/>
      <c r="L40" s="106"/>
      <c r="M40" s="106"/>
      <c r="N40" s="106"/>
      <c r="O40" s="106"/>
      <c r="P40" s="107"/>
    </row>
    <row r="41" spans="2:16" ht="15">
      <c r="B41" s="89"/>
      <c r="C41" s="106"/>
      <c r="D41" s="106"/>
      <c r="E41" s="106"/>
      <c r="F41" s="106"/>
      <c r="G41" s="106"/>
      <c r="H41" s="106"/>
      <c r="I41" s="106"/>
      <c r="J41" s="106"/>
      <c r="K41" s="106"/>
      <c r="L41" s="106"/>
      <c r="M41" s="106"/>
      <c r="N41" s="106"/>
      <c r="O41" s="106"/>
      <c r="P41" s="107"/>
    </row>
    <row r="42" spans="2:16" ht="15">
      <c r="B42" s="89"/>
      <c r="C42" s="106"/>
      <c r="D42" s="106"/>
      <c r="E42" s="106"/>
      <c r="F42" s="106"/>
      <c r="G42" s="106"/>
      <c r="H42" s="106"/>
      <c r="I42" s="106"/>
      <c r="J42" s="106"/>
      <c r="K42" s="106"/>
      <c r="L42" s="106"/>
      <c r="M42" s="106"/>
      <c r="N42" s="106"/>
      <c r="O42" s="106"/>
      <c r="P42" s="107"/>
    </row>
    <row r="43" spans="2:16" ht="15">
      <c r="B43" s="89"/>
      <c r="C43" s="106"/>
      <c r="D43" s="106"/>
      <c r="E43" s="106"/>
      <c r="F43" s="106"/>
      <c r="G43" s="106"/>
      <c r="H43" s="106"/>
      <c r="I43" s="106"/>
      <c r="J43" s="106"/>
      <c r="K43" s="106"/>
      <c r="L43" s="106"/>
      <c r="M43" s="106"/>
      <c r="N43" s="106"/>
      <c r="O43" s="106"/>
      <c r="P43" s="107"/>
    </row>
    <row r="44" spans="2:16" ht="15">
      <c r="B44" s="89"/>
      <c r="C44" s="106"/>
      <c r="D44" s="106"/>
      <c r="E44" s="106"/>
      <c r="F44" s="106"/>
      <c r="G44" s="106"/>
      <c r="H44" s="106"/>
      <c r="I44" s="106"/>
      <c r="J44" s="106"/>
      <c r="K44" s="106"/>
      <c r="L44" s="106"/>
      <c r="M44" s="106"/>
      <c r="N44" s="106"/>
      <c r="O44" s="106"/>
      <c r="P44" s="107"/>
    </row>
    <row r="45" spans="2:16" ht="15">
      <c r="B45" s="89"/>
      <c r="C45" s="106"/>
      <c r="D45" s="106"/>
      <c r="E45" s="106"/>
      <c r="F45" s="106"/>
      <c r="G45" s="106"/>
      <c r="H45" s="106"/>
      <c r="I45" s="106"/>
      <c r="J45" s="106"/>
      <c r="K45" s="106"/>
      <c r="L45" s="106"/>
      <c r="M45" s="106"/>
      <c r="N45" s="106"/>
      <c r="O45" s="106"/>
      <c r="P45" s="107"/>
    </row>
    <row r="46" spans="2:16" ht="15">
      <c r="B46" s="89"/>
      <c r="C46" s="106"/>
      <c r="D46" s="106"/>
      <c r="E46" s="106"/>
      <c r="F46" s="106"/>
      <c r="G46" s="106"/>
      <c r="H46" s="106"/>
      <c r="I46" s="106"/>
      <c r="J46" s="106"/>
      <c r="K46" s="106"/>
      <c r="L46" s="106"/>
      <c r="M46" s="106"/>
      <c r="N46" s="106"/>
      <c r="O46" s="106"/>
      <c r="P46" s="107"/>
    </row>
    <row r="47" spans="2:16" ht="15">
      <c r="B47" s="89"/>
      <c r="C47" s="106"/>
      <c r="D47" s="106"/>
      <c r="E47" s="106"/>
      <c r="F47" s="106"/>
      <c r="G47" s="106"/>
      <c r="H47" s="106"/>
      <c r="I47" s="106"/>
      <c r="J47" s="106"/>
      <c r="K47" s="106"/>
      <c r="L47" s="106"/>
      <c r="M47" s="106"/>
      <c r="N47" s="106"/>
      <c r="O47" s="106"/>
      <c r="P47" s="107"/>
    </row>
    <row r="48" spans="2:16" ht="15">
      <c r="B48" s="89"/>
      <c r="C48" s="106"/>
      <c r="D48" s="106"/>
      <c r="E48" s="106"/>
      <c r="F48" s="106"/>
      <c r="G48" s="106"/>
      <c r="H48" s="106"/>
      <c r="I48" s="106"/>
      <c r="J48" s="106"/>
      <c r="K48" s="106"/>
      <c r="L48" s="106"/>
      <c r="M48" s="106"/>
      <c r="N48" s="106"/>
      <c r="O48" s="106"/>
      <c r="P48" s="107"/>
    </row>
    <row r="49" spans="2:16" ht="15">
      <c r="B49" s="89"/>
      <c r="C49" s="106"/>
      <c r="D49" s="106"/>
      <c r="E49" s="106"/>
      <c r="F49" s="106"/>
      <c r="G49" s="106"/>
      <c r="H49" s="106"/>
      <c r="I49" s="106"/>
      <c r="J49" s="106"/>
      <c r="K49" s="106"/>
      <c r="L49" s="106"/>
      <c r="M49" s="106"/>
      <c r="N49" s="106"/>
      <c r="O49" s="106"/>
      <c r="P49" s="107"/>
    </row>
    <row r="50" spans="2:16" ht="15">
      <c r="B50" s="89"/>
      <c r="C50" s="106"/>
      <c r="D50" s="106"/>
      <c r="E50" s="106"/>
      <c r="F50" s="106"/>
      <c r="G50" s="106"/>
      <c r="H50" s="106"/>
      <c r="I50" s="106"/>
      <c r="J50" s="106"/>
      <c r="K50" s="106"/>
      <c r="L50" s="106"/>
      <c r="M50" s="106"/>
      <c r="N50" s="106"/>
      <c r="O50" s="106"/>
      <c r="P50" s="107"/>
    </row>
    <row r="51" spans="2:16" ht="15">
      <c r="B51" s="89"/>
      <c r="C51" s="106"/>
      <c r="D51" s="106"/>
      <c r="E51" s="106"/>
      <c r="F51" s="106"/>
      <c r="G51" s="106"/>
      <c r="H51" s="106"/>
      <c r="I51" s="106"/>
      <c r="J51" s="106"/>
      <c r="K51" s="106"/>
      <c r="L51" s="106"/>
      <c r="M51" s="106"/>
      <c r="N51" s="106"/>
      <c r="O51" s="106"/>
      <c r="P51" s="107"/>
    </row>
    <row r="52" spans="2:16" ht="15">
      <c r="B52" s="89"/>
      <c r="C52" s="106"/>
      <c r="D52" s="106"/>
      <c r="E52" s="106"/>
      <c r="F52" s="106"/>
      <c r="G52" s="106"/>
      <c r="H52" s="106"/>
      <c r="I52" s="106"/>
      <c r="J52" s="106"/>
      <c r="K52" s="106"/>
      <c r="L52" s="106"/>
      <c r="M52" s="106"/>
      <c r="N52" s="106"/>
      <c r="O52" s="106"/>
      <c r="P52" s="107"/>
    </row>
    <row r="53" spans="2:16" ht="15">
      <c r="B53" s="89"/>
      <c r="C53" s="106"/>
      <c r="D53" s="106"/>
      <c r="E53" s="106"/>
      <c r="F53" s="106"/>
      <c r="G53" s="106"/>
      <c r="H53" s="106"/>
      <c r="I53" s="106"/>
      <c r="J53" s="106"/>
      <c r="K53" s="106"/>
      <c r="L53" s="106"/>
      <c r="M53" s="106"/>
      <c r="N53" s="106"/>
      <c r="O53" s="106"/>
      <c r="P53" s="107"/>
    </row>
    <row r="54" spans="2:16" ht="15">
      <c r="B54" s="89"/>
      <c r="C54" s="106"/>
      <c r="D54" s="106"/>
      <c r="E54" s="106"/>
      <c r="F54" s="106"/>
      <c r="G54" s="106"/>
      <c r="H54" s="106"/>
      <c r="I54" s="106"/>
      <c r="J54" s="106"/>
      <c r="K54" s="106"/>
      <c r="L54" s="106"/>
      <c r="M54" s="106"/>
      <c r="N54" s="106"/>
      <c r="O54" s="106"/>
      <c r="P54" s="107"/>
    </row>
    <row r="55" spans="2:16" ht="15.75" thickBot="1">
      <c r="B55" s="100"/>
      <c r="C55" s="112"/>
      <c r="D55" s="112"/>
      <c r="E55" s="112"/>
      <c r="F55" s="112"/>
      <c r="G55" s="112"/>
      <c r="H55" s="112"/>
      <c r="I55" s="112"/>
      <c r="J55" s="112"/>
      <c r="K55" s="112"/>
      <c r="L55" s="112"/>
      <c r="M55" s="112"/>
      <c r="N55" s="112"/>
      <c r="O55" s="112"/>
      <c r="P55" s="113"/>
    </row>
    <row r="56" spans="13:14" ht="15">
      <c r="M56" s="85"/>
      <c r="N56" s="85"/>
    </row>
    <row r="57" spans="13:14" ht="15">
      <c r="M57" s="85"/>
      <c r="N57" s="85"/>
    </row>
    <row r="58" spans="13:14" ht="15">
      <c r="M58" s="85"/>
      <c r="N58" s="85"/>
    </row>
    <row r="59" spans="13:14" ht="15">
      <c r="M59" s="85"/>
      <c r="N59" s="85"/>
    </row>
    <row r="60" spans="13:14" ht="15">
      <c r="M60" s="85"/>
      <c r="N60" s="85"/>
    </row>
    <row r="61" spans="13:14" ht="15">
      <c r="M61" s="85"/>
      <c r="N61" s="85"/>
    </row>
    <row r="62" spans="13:14" ht="15">
      <c r="M62" s="85"/>
      <c r="N62" s="85"/>
    </row>
    <row r="63" spans="13:14" ht="15">
      <c r="M63" s="85"/>
      <c r="N63" s="85"/>
    </row>
    <row r="64" spans="13:14" ht="15">
      <c r="M64" s="85"/>
      <c r="N64" s="85"/>
    </row>
    <row r="65" spans="13:14" ht="15">
      <c r="M65" s="85"/>
      <c r="N65" s="85"/>
    </row>
    <row r="66" spans="13:14" ht="15">
      <c r="M66" s="85"/>
      <c r="N66" s="85"/>
    </row>
    <row r="67" spans="13:14" ht="15">
      <c r="M67" s="85"/>
      <c r="N67" s="85"/>
    </row>
    <row r="68" spans="13:14" ht="15">
      <c r="M68" s="85"/>
      <c r="N68" s="85"/>
    </row>
    <row r="69" spans="13:14" ht="12" customHeight="1">
      <c r="M69" s="85"/>
      <c r="N69" s="85"/>
    </row>
    <row r="70" spans="13:14" ht="15">
      <c r="M70" s="85"/>
      <c r="N70" s="85"/>
    </row>
    <row r="71" spans="3:18" s="111" customFormat="1" ht="18.75">
      <c r="C71" s="85"/>
      <c r="D71" s="85"/>
      <c r="E71" s="85"/>
      <c r="F71" s="85"/>
      <c r="G71" s="85"/>
      <c r="H71" s="85"/>
      <c r="I71" s="85"/>
      <c r="J71" s="85"/>
      <c r="K71" s="85"/>
      <c r="L71" s="85"/>
      <c r="M71" s="85"/>
      <c r="N71" s="85"/>
      <c r="O71" s="85"/>
      <c r="P71" s="85"/>
      <c r="Q71" s="85"/>
      <c r="R71" s="85"/>
    </row>
    <row r="72" spans="13:14" ht="15">
      <c r="M72" s="85"/>
      <c r="N72" s="85"/>
    </row>
    <row r="73" spans="13:14" ht="15">
      <c r="M73" s="85"/>
      <c r="N73" s="85"/>
    </row>
    <row r="74" spans="13:14" ht="15">
      <c r="M74" s="85"/>
      <c r="N74" s="85"/>
    </row>
    <row r="75" spans="13:14" ht="15">
      <c r="M75" s="85"/>
      <c r="N75" s="85"/>
    </row>
    <row r="76" spans="13:14" ht="15">
      <c r="M76" s="85"/>
      <c r="N76" s="85"/>
    </row>
    <row r="77" spans="13:14" ht="15">
      <c r="M77" s="85"/>
      <c r="N77" s="85"/>
    </row>
    <row r="78" spans="13:14" ht="15">
      <c r="M78" s="85"/>
      <c r="N78" s="85"/>
    </row>
    <row r="79" spans="13:14" ht="15">
      <c r="M79" s="85"/>
      <c r="N79" s="85"/>
    </row>
    <row r="80" spans="13:14" ht="15">
      <c r="M80" s="85"/>
      <c r="N80" s="85"/>
    </row>
    <row r="81" spans="13:14" ht="15">
      <c r="M81" s="85"/>
      <c r="N81" s="85"/>
    </row>
    <row r="82" spans="13:14" ht="15">
      <c r="M82" s="85"/>
      <c r="N82" s="85"/>
    </row>
    <row r="83" spans="13:14" ht="15">
      <c r="M83" s="85"/>
      <c r="N83" s="85"/>
    </row>
    <row r="84" spans="13:14" ht="15">
      <c r="M84" s="85"/>
      <c r="N84" s="85"/>
    </row>
    <row r="85" spans="13:14" ht="15">
      <c r="M85" s="85"/>
      <c r="N85" s="85"/>
    </row>
    <row r="86" spans="13:14" ht="15">
      <c r="M86" s="85"/>
      <c r="N86" s="85"/>
    </row>
    <row r="87" spans="13:14" ht="15">
      <c r="M87" s="85"/>
      <c r="N87" s="85"/>
    </row>
    <row r="88" spans="13:14" ht="15">
      <c r="M88" s="85"/>
      <c r="N88" s="85"/>
    </row>
    <row r="89" spans="13:14" ht="15">
      <c r="M89" s="85"/>
      <c r="N89" s="85"/>
    </row>
    <row r="90" spans="13:14" ht="15">
      <c r="M90" s="85"/>
      <c r="N90" s="85"/>
    </row>
    <row r="91" spans="13:14" ht="15">
      <c r="M91" s="85"/>
      <c r="N91" s="85"/>
    </row>
    <row r="92" spans="13:14" ht="15">
      <c r="M92" s="85"/>
      <c r="N92" s="85"/>
    </row>
    <row r="93" spans="13:14" ht="15">
      <c r="M93" s="85"/>
      <c r="N93" s="85"/>
    </row>
    <row r="94" spans="13:14" ht="15">
      <c r="M94" s="85"/>
      <c r="N94" s="85"/>
    </row>
    <row r="95" spans="13:14" ht="15">
      <c r="M95" s="85"/>
      <c r="N95" s="85"/>
    </row>
    <row r="96" spans="13:14" ht="15">
      <c r="M96" s="85"/>
      <c r="N96" s="85"/>
    </row>
    <row r="97" spans="13:14" ht="15">
      <c r="M97" s="85"/>
      <c r="N97" s="85"/>
    </row>
    <row r="98" spans="13:14" ht="15">
      <c r="M98" s="85"/>
      <c r="N98" s="85"/>
    </row>
    <row r="99" spans="13:14" ht="15">
      <c r="M99" s="85"/>
      <c r="N99" s="85"/>
    </row>
    <row r="100" spans="13:14" ht="15">
      <c r="M100" s="85"/>
      <c r="N100" s="85"/>
    </row>
    <row r="101" spans="13:14" ht="15">
      <c r="M101" s="85"/>
      <c r="N101" s="85"/>
    </row>
    <row r="102" spans="13:14" ht="15">
      <c r="M102" s="85"/>
      <c r="N102" s="85"/>
    </row>
    <row r="103" spans="13:14" ht="15">
      <c r="M103" s="85"/>
      <c r="N103" s="85"/>
    </row>
    <row r="104" spans="13:14" ht="15">
      <c r="M104" s="85"/>
      <c r="N104" s="85"/>
    </row>
    <row r="105" spans="13:14" ht="15">
      <c r="M105" s="85"/>
      <c r="N105" s="85"/>
    </row>
    <row r="106" spans="13:14" ht="15">
      <c r="M106" s="85"/>
      <c r="N106" s="85"/>
    </row>
  </sheetData>
  <sheetProtection password="E7B2" sheet="1"/>
  <mergeCells count="14">
    <mergeCell ref="C8:O8"/>
    <mergeCell ref="C9:O9"/>
    <mergeCell ref="D11:E11"/>
    <mergeCell ref="F11:F12"/>
    <mergeCell ref="G11:G12"/>
    <mergeCell ref="D12:E12"/>
    <mergeCell ref="D13:E13"/>
    <mergeCell ref="D14:D15"/>
    <mergeCell ref="D16:E16"/>
    <mergeCell ref="K3:N3"/>
    <mergeCell ref="E3:J3"/>
    <mergeCell ref="C3:D3"/>
    <mergeCell ref="C5:O5"/>
    <mergeCell ref="C7:O7"/>
  </mergeCells>
  <hyperlinks>
    <hyperlink ref="E3:J3" location="'1.Home'!A1" display="Please review disclaimer on the Home tab"/>
  </hyperlinks>
  <printOptions/>
  <pageMargins left="0.7" right="0.7" top="0.75" bottom="0.75" header="0.3" footer="0.3"/>
  <pageSetup fitToHeight="1" fitToWidth="1" horizontalDpi="600" verticalDpi="600" orientation="landscape" paperSize="5" scale="61" r:id="rId2"/>
  <headerFooter>
    <oddHeader>&amp;LECM010a - Energy efficient laptops
&amp;R&amp;A</oddHeader>
    <oddFooter>&amp;LLast modified by user: &amp;D&amp;RPage &amp;P or &amp;N</oddFooter>
  </headerFooter>
  <rowBreaks count="2" manualBreakCount="2">
    <brk id="29" min="2" max="18" man="1"/>
    <brk id="49" min="2" max="18" man="1"/>
  </rowBreaks>
  <drawing r:id="rId1"/>
</worksheet>
</file>

<file path=xl/worksheets/sheet5.xml><?xml version="1.0" encoding="utf-8"?>
<worksheet xmlns="http://schemas.openxmlformats.org/spreadsheetml/2006/main" xmlns:r="http://schemas.openxmlformats.org/officeDocument/2006/relationships">
  <dimension ref="B2:R123"/>
  <sheetViews>
    <sheetView zoomScalePageLayoutView="70" workbookViewId="0" topLeftCell="A1">
      <selection activeCell="C3" sqref="C3:E3"/>
    </sheetView>
  </sheetViews>
  <sheetFormatPr defaultColWidth="9.140625" defaultRowHeight="15"/>
  <cols>
    <col min="1" max="2" width="2.7109375" style="44" customWidth="1"/>
    <col min="3" max="3" width="19.7109375" style="45" customWidth="1"/>
    <col min="4" max="4" width="18.7109375" style="45" customWidth="1"/>
    <col min="5" max="5" width="82.8515625" style="46" bestFit="1" customWidth="1"/>
    <col min="6" max="8" width="22.140625" style="44" customWidth="1"/>
    <col min="9" max="9" width="22.140625" style="46" customWidth="1"/>
    <col min="10" max="11" width="22.140625" style="44" customWidth="1"/>
    <col min="12" max="12" width="2.7109375" style="44" customWidth="1"/>
    <col min="13" max="13" width="8.28125" style="44" customWidth="1"/>
    <col min="14" max="14" width="7.8515625" style="44" customWidth="1"/>
    <col min="15" max="15" width="7.7109375" style="44" customWidth="1"/>
    <col min="16" max="16" width="7.8515625" style="44" customWidth="1"/>
    <col min="17" max="16384" width="9.140625" style="44" customWidth="1"/>
  </cols>
  <sheetData>
    <row r="1" ht="15.75" thickBot="1"/>
    <row r="2" spans="2:12" ht="15">
      <c r="B2" s="47"/>
      <c r="C2" s="48"/>
      <c r="D2" s="48"/>
      <c r="E2" s="50"/>
      <c r="F2" s="49"/>
      <c r="G2" s="49"/>
      <c r="H2" s="49"/>
      <c r="I2" s="50"/>
      <c r="J2" s="49"/>
      <c r="K2" s="49"/>
      <c r="L2" s="51"/>
    </row>
    <row r="3" spans="2:12" ht="15">
      <c r="B3" s="52"/>
      <c r="C3" s="500" t="s">
        <v>222</v>
      </c>
      <c r="D3" s="501"/>
      <c r="E3" s="542"/>
      <c r="F3" s="464" t="s">
        <v>241</v>
      </c>
      <c r="G3" s="465"/>
      <c r="H3" s="466"/>
      <c r="I3" s="503" t="s">
        <v>207</v>
      </c>
      <c r="J3" s="503"/>
      <c r="K3" s="53">
        <f>'1.Home'!H10</f>
        <v>40703</v>
      </c>
      <c r="L3" s="54"/>
    </row>
    <row r="4" spans="2:12" ht="15.75" thickBot="1">
      <c r="B4" s="52"/>
      <c r="C4" s="55"/>
      <c r="D4" s="55"/>
      <c r="E4" s="57"/>
      <c r="F4" s="56"/>
      <c r="G4" s="56"/>
      <c r="H4" s="56"/>
      <c r="I4" s="57"/>
      <c r="J4" s="56"/>
      <c r="K4" s="56"/>
      <c r="L4" s="54"/>
    </row>
    <row r="5" spans="2:12" ht="30.75" thickBot="1">
      <c r="B5" s="52"/>
      <c r="C5" s="58" t="s">
        <v>229</v>
      </c>
      <c r="D5" s="560" t="s">
        <v>25</v>
      </c>
      <c r="E5" s="561"/>
      <c r="F5" s="561"/>
      <c r="G5" s="561"/>
      <c r="H5" s="562"/>
      <c r="I5" s="114"/>
      <c r="J5" s="56"/>
      <c r="K5" s="56"/>
      <c r="L5" s="54"/>
    </row>
    <row r="6" spans="2:12" ht="15.75" thickBot="1">
      <c r="B6" s="52"/>
      <c r="C6" s="516" t="s">
        <v>144</v>
      </c>
      <c r="D6" s="517"/>
      <c r="E6" s="517"/>
      <c r="F6" s="517"/>
      <c r="G6" s="517"/>
      <c r="H6" s="518"/>
      <c r="I6" s="30"/>
      <c r="J6" s="56"/>
      <c r="K6" s="56"/>
      <c r="L6" s="54"/>
    </row>
    <row r="7" spans="2:12" ht="15">
      <c r="B7" s="52"/>
      <c r="C7" s="59"/>
      <c r="D7" s="115" t="s">
        <v>51</v>
      </c>
      <c r="E7" s="116" t="s">
        <v>290</v>
      </c>
      <c r="F7" s="117" t="s">
        <v>145</v>
      </c>
      <c r="G7" s="117">
        <f>'3.Inputs'!J15</f>
        <v>12</v>
      </c>
      <c r="H7" s="118"/>
      <c r="I7" s="57"/>
      <c r="J7" s="56"/>
      <c r="K7" s="56"/>
      <c r="L7" s="54"/>
    </row>
    <row r="8" spans="2:12" ht="15">
      <c r="B8" s="52"/>
      <c r="C8" s="68"/>
      <c r="D8" s="119" t="s">
        <v>52</v>
      </c>
      <c r="E8" s="120" t="s">
        <v>291</v>
      </c>
      <c r="F8" s="121" t="s">
        <v>145</v>
      </c>
      <c r="G8" s="121">
        <f>'3.Inputs'!J23</f>
        <v>6</v>
      </c>
      <c r="H8" s="122"/>
      <c r="I8" s="57"/>
      <c r="J8" s="56"/>
      <c r="K8" s="56"/>
      <c r="L8" s="54"/>
    </row>
    <row r="9" spans="2:12" ht="15">
      <c r="B9" s="52"/>
      <c r="C9" s="68"/>
      <c r="D9" s="119" t="s">
        <v>53</v>
      </c>
      <c r="E9" s="120" t="s">
        <v>252</v>
      </c>
      <c r="F9" s="121" t="s">
        <v>145</v>
      </c>
      <c r="G9" s="121">
        <f>'3.Inputs'!J17</f>
        <v>8</v>
      </c>
      <c r="H9" s="122" t="s">
        <v>2</v>
      </c>
      <c r="I9" s="57"/>
      <c r="J9" s="56"/>
      <c r="K9" s="56"/>
      <c r="L9" s="54"/>
    </row>
    <row r="10" spans="2:12" ht="15">
      <c r="B10" s="52"/>
      <c r="C10" s="68"/>
      <c r="D10" s="119" t="s">
        <v>54</v>
      </c>
      <c r="E10" s="120" t="s">
        <v>253</v>
      </c>
      <c r="F10" s="121" t="s">
        <v>145</v>
      </c>
      <c r="G10" s="121">
        <f>'3.Inputs'!J18</f>
        <v>5</v>
      </c>
      <c r="H10" s="122" t="s">
        <v>3</v>
      </c>
      <c r="I10" s="57"/>
      <c r="J10" s="56"/>
      <c r="K10" s="56"/>
      <c r="L10" s="54"/>
    </row>
    <row r="11" spans="2:12" ht="15">
      <c r="B11" s="52"/>
      <c r="C11" s="68"/>
      <c r="D11" s="119" t="s">
        <v>55</v>
      </c>
      <c r="E11" s="120" t="s">
        <v>254</v>
      </c>
      <c r="F11" s="121" t="s">
        <v>146</v>
      </c>
      <c r="G11" s="121">
        <f>G9*G10</f>
        <v>40</v>
      </c>
      <c r="H11" s="122" t="s">
        <v>17</v>
      </c>
      <c r="I11" s="57"/>
      <c r="J11" s="56"/>
      <c r="K11" s="56"/>
      <c r="L11" s="54"/>
    </row>
    <row r="12" spans="2:12" ht="15">
      <c r="B12" s="52"/>
      <c r="C12" s="68"/>
      <c r="D12" s="119" t="s">
        <v>56</v>
      </c>
      <c r="E12" s="120" t="s">
        <v>255</v>
      </c>
      <c r="F12" s="121" t="s">
        <v>145</v>
      </c>
      <c r="G12" s="121">
        <f>'3.Inputs'!J16</f>
        <v>16</v>
      </c>
      <c r="H12" s="122" t="s">
        <v>2</v>
      </c>
      <c r="I12" s="57"/>
      <c r="J12" s="56"/>
      <c r="K12" s="56"/>
      <c r="L12" s="54"/>
    </row>
    <row r="13" spans="2:12" ht="15">
      <c r="B13" s="52"/>
      <c r="C13" s="68"/>
      <c r="D13" s="119" t="s">
        <v>57</v>
      </c>
      <c r="E13" s="120" t="s">
        <v>256</v>
      </c>
      <c r="F13" s="121" t="s">
        <v>147</v>
      </c>
      <c r="G13" s="121">
        <f>G12*G10</f>
        <v>80</v>
      </c>
      <c r="H13" s="122" t="s">
        <v>17</v>
      </c>
      <c r="I13" s="57"/>
      <c r="J13" s="56"/>
      <c r="K13" s="56"/>
      <c r="L13" s="54"/>
    </row>
    <row r="14" spans="2:12" ht="15">
      <c r="B14" s="52"/>
      <c r="C14" s="68"/>
      <c r="D14" s="119" t="s">
        <v>58</v>
      </c>
      <c r="E14" s="120" t="s">
        <v>257</v>
      </c>
      <c r="F14" s="121" t="s">
        <v>145</v>
      </c>
      <c r="G14" s="121">
        <f>'3.Inputs'!J7</f>
        <v>50</v>
      </c>
      <c r="H14" s="122" t="s">
        <v>59</v>
      </c>
      <c r="I14" s="57"/>
      <c r="J14" s="56"/>
      <c r="K14" s="56"/>
      <c r="L14" s="54"/>
    </row>
    <row r="15" spans="2:12" ht="15">
      <c r="B15" s="52"/>
      <c r="C15" s="68"/>
      <c r="D15" s="119" t="s">
        <v>60</v>
      </c>
      <c r="E15" s="120" t="s">
        <v>258</v>
      </c>
      <c r="F15" s="121" t="s">
        <v>148</v>
      </c>
      <c r="G15" s="121">
        <f>G14*G11</f>
        <v>2000</v>
      </c>
      <c r="H15" s="122" t="s">
        <v>66</v>
      </c>
      <c r="I15" s="57"/>
      <c r="J15" s="56"/>
      <c r="K15" s="56"/>
      <c r="L15" s="54"/>
    </row>
    <row r="16" spans="2:12" ht="15.75" thickBot="1">
      <c r="B16" s="52"/>
      <c r="C16" s="123"/>
      <c r="D16" s="124" t="s">
        <v>61</v>
      </c>
      <c r="E16" s="125" t="s">
        <v>259</v>
      </c>
      <c r="F16" s="126" t="s">
        <v>149</v>
      </c>
      <c r="G16" s="126">
        <f>G13*'3.Inputs'!J7</f>
        <v>4000</v>
      </c>
      <c r="H16" s="127" t="s">
        <v>66</v>
      </c>
      <c r="I16" s="57"/>
      <c r="J16" s="56"/>
      <c r="K16" s="56"/>
      <c r="L16" s="54"/>
    </row>
    <row r="17" spans="2:12" ht="15.75" thickBot="1">
      <c r="B17" s="52"/>
      <c r="C17" s="516" t="s">
        <v>89</v>
      </c>
      <c r="D17" s="517"/>
      <c r="E17" s="517"/>
      <c r="F17" s="517"/>
      <c r="G17" s="517"/>
      <c r="H17" s="518"/>
      <c r="I17" s="57"/>
      <c r="J17" s="56"/>
      <c r="K17" s="56"/>
      <c r="L17" s="54"/>
    </row>
    <row r="18" spans="2:12" ht="15">
      <c r="B18" s="52"/>
      <c r="C18" s="128"/>
      <c r="D18" s="129" t="s">
        <v>62</v>
      </c>
      <c r="E18" s="130" t="s">
        <v>260</v>
      </c>
      <c r="F18" s="131" t="s">
        <v>150</v>
      </c>
      <c r="G18" s="131">
        <f>'3.Inputs'!J19</f>
        <v>70</v>
      </c>
      <c r="H18" s="132" t="s">
        <v>11</v>
      </c>
      <c r="I18" s="57"/>
      <c r="J18" s="56"/>
      <c r="K18" s="56"/>
      <c r="L18" s="54"/>
    </row>
    <row r="19" spans="2:12" ht="15">
      <c r="B19" s="52"/>
      <c r="C19" s="68"/>
      <c r="D19" s="119" t="s">
        <v>63</v>
      </c>
      <c r="E19" s="120" t="s">
        <v>261</v>
      </c>
      <c r="F19" s="121" t="s">
        <v>150</v>
      </c>
      <c r="G19" s="121">
        <f>'3.Inputs'!J20</f>
        <v>4</v>
      </c>
      <c r="H19" s="122" t="s">
        <v>11</v>
      </c>
      <c r="I19" s="57"/>
      <c r="J19" s="56"/>
      <c r="K19" s="56"/>
      <c r="L19" s="54"/>
    </row>
    <row r="20" spans="2:12" ht="15">
      <c r="B20" s="52"/>
      <c r="C20" s="68"/>
      <c r="D20" s="119" t="s">
        <v>64</v>
      </c>
      <c r="E20" s="120" t="s">
        <v>266</v>
      </c>
      <c r="F20" s="121" t="s">
        <v>153</v>
      </c>
      <c r="G20" s="121">
        <f>((G18*G15)+(G19*G16))/1000</f>
        <v>156</v>
      </c>
      <c r="H20" s="122" t="s">
        <v>267</v>
      </c>
      <c r="I20" s="57"/>
      <c r="J20" s="56"/>
      <c r="K20" s="56"/>
      <c r="L20" s="54"/>
    </row>
    <row r="21" spans="2:12" ht="15">
      <c r="B21" s="52"/>
      <c r="C21" s="32" t="s">
        <v>262</v>
      </c>
      <c r="D21" s="119" t="s">
        <v>67</v>
      </c>
      <c r="E21" s="120" t="s">
        <v>151</v>
      </c>
      <c r="F21" s="121" t="s">
        <v>152</v>
      </c>
      <c r="G21" s="133">
        <f>G20*'6.Assumptions &amp; References'!D59</f>
        <v>14.0088</v>
      </c>
      <c r="H21" s="122" t="s">
        <v>268</v>
      </c>
      <c r="I21" s="30"/>
      <c r="J21" s="56"/>
      <c r="K21" s="56"/>
      <c r="L21" s="54"/>
    </row>
    <row r="22" spans="2:12" ht="15">
      <c r="B22" s="52"/>
      <c r="C22" s="68"/>
      <c r="D22" s="119" t="s">
        <v>68</v>
      </c>
      <c r="E22" s="26" t="s">
        <v>263</v>
      </c>
      <c r="F22" s="31" t="s">
        <v>145</v>
      </c>
      <c r="G22" s="133">
        <f>'3.Inputs'!J14</f>
        <v>500</v>
      </c>
      <c r="H22" s="122" t="s">
        <v>265</v>
      </c>
      <c r="I22" s="57"/>
      <c r="J22" s="56"/>
      <c r="K22" s="56"/>
      <c r="L22" s="54"/>
    </row>
    <row r="23" spans="2:12" ht="15.75" thickBot="1">
      <c r="B23" s="52"/>
      <c r="C23" s="123"/>
      <c r="D23" s="124" t="s">
        <v>69</v>
      </c>
      <c r="E23" s="125" t="s">
        <v>264</v>
      </c>
      <c r="F23" s="126" t="s">
        <v>154</v>
      </c>
      <c r="G23" s="134">
        <f>'3.Inputs'!J14*G8</f>
        <v>3000</v>
      </c>
      <c r="H23" s="127"/>
      <c r="I23" s="57"/>
      <c r="J23" s="56"/>
      <c r="K23" s="56"/>
      <c r="L23" s="54"/>
    </row>
    <row r="24" spans="2:12" ht="15.75" thickBot="1">
      <c r="B24" s="52"/>
      <c r="C24" s="516" t="s">
        <v>24</v>
      </c>
      <c r="D24" s="517"/>
      <c r="E24" s="517"/>
      <c r="F24" s="517"/>
      <c r="G24" s="517"/>
      <c r="H24" s="518"/>
      <c r="I24" s="57"/>
      <c r="J24" s="56"/>
      <c r="K24" s="56"/>
      <c r="L24" s="54"/>
    </row>
    <row r="25" spans="2:12" ht="15">
      <c r="B25" s="52"/>
      <c r="C25" s="128"/>
      <c r="D25" s="129" t="s">
        <v>70</v>
      </c>
      <c r="E25" s="130" t="s">
        <v>260</v>
      </c>
      <c r="F25" s="131" t="s">
        <v>155</v>
      </c>
      <c r="G25" s="131">
        <f>'3.Inputs'!J27</f>
        <v>40</v>
      </c>
      <c r="H25" s="132" t="s">
        <v>11</v>
      </c>
      <c r="I25" s="57"/>
      <c r="J25" s="56"/>
      <c r="K25" s="56"/>
      <c r="L25" s="54"/>
    </row>
    <row r="26" spans="2:12" ht="15">
      <c r="B26" s="52"/>
      <c r="C26" s="68"/>
      <c r="D26" s="119" t="s">
        <v>71</v>
      </c>
      <c r="E26" s="120" t="s">
        <v>261</v>
      </c>
      <c r="F26" s="121" t="s">
        <v>155</v>
      </c>
      <c r="G26" s="121">
        <f>'3.Inputs'!J28</f>
        <v>1.5</v>
      </c>
      <c r="H26" s="122" t="s">
        <v>11</v>
      </c>
      <c r="I26" s="57"/>
      <c r="J26" s="56"/>
      <c r="K26" s="56"/>
      <c r="L26" s="54"/>
    </row>
    <row r="27" spans="2:12" ht="15">
      <c r="B27" s="52"/>
      <c r="C27" s="68"/>
      <c r="D27" s="119" t="s">
        <v>72</v>
      </c>
      <c r="E27" s="120" t="s">
        <v>297</v>
      </c>
      <c r="F27" s="121" t="s">
        <v>156</v>
      </c>
      <c r="G27" s="121">
        <f>(G25*G15+G26*G16)/1000</f>
        <v>86</v>
      </c>
      <c r="H27" s="122" t="s">
        <v>267</v>
      </c>
      <c r="I27" s="57"/>
      <c r="J27" s="56"/>
      <c r="K27" s="56"/>
      <c r="L27" s="54"/>
    </row>
    <row r="28" spans="2:12" ht="15">
      <c r="B28" s="52"/>
      <c r="C28" s="32" t="s">
        <v>262</v>
      </c>
      <c r="D28" s="119" t="s">
        <v>73</v>
      </c>
      <c r="E28" s="120" t="s">
        <v>157</v>
      </c>
      <c r="F28" s="121" t="s">
        <v>158</v>
      </c>
      <c r="G28" s="133">
        <f>G27*'6.Assumptions &amp; References'!D59</f>
        <v>7.7228</v>
      </c>
      <c r="H28" s="122" t="s">
        <v>268</v>
      </c>
      <c r="I28" s="30"/>
      <c r="J28" s="56"/>
      <c r="K28" s="56"/>
      <c r="L28" s="54"/>
    </row>
    <row r="29" spans="2:12" ht="15">
      <c r="B29" s="52"/>
      <c r="C29" s="68"/>
      <c r="D29" s="119" t="s">
        <v>74</v>
      </c>
      <c r="E29" s="120" t="s">
        <v>159</v>
      </c>
      <c r="F29" s="121" t="s">
        <v>145</v>
      </c>
      <c r="G29" s="133">
        <f>'3.Inputs'!J24</f>
        <v>2000</v>
      </c>
      <c r="H29" s="122"/>
      <c r="I29" s="57"/>
      <c r="J29" s="56"/>
      <c r="K29" s="56"/>
      <c r="L29" s="54"/>
    </row>
    <row r="30" spans="2:12" ht="15">
      <c r="B30" s="52"/>
      <c r="C30" s="68"/>
      <c r="D30" s="119" t="s">
        <v>94</v>
      </c>
      <c r="E30" s="120" t="s">
        <v>160</v>
      </c>
      <c r="F30" s="121" t="s">
        <v>145</v>
      </c>
      <c r="G30" s="133">
        <f>'3.Inputs'!J26</f>
        <v>100</v>
      </c>
      <c r="H30" s="122"/>
      <c r="I30" s="57"/>
      <c r="J30" s="56"/>
      <c r="K30" s="56"/>
      <c r="L30" s="54"/>
    </row>
    <row r="31" spans="2:12" ht="15">
      <c r="B31" s="52"/>
      <c r="C31" s="68"/>
      <c r="D31" s="119" t="s">
        <v>95</v>
      </c>
      <c r="E31" s="120" t="s">
        <v>161</v>
      </c>
      <c r="F31" s="121" t="s">
        <v>145</v>
      </c>
      <c r="G31" s="121">
        <f>'3.Inputs'!J25</f>
        <v>6</v>
      </c>
      <c r="H31" s="122"/>
      <c r="I31" s="57"/>
      <c r="J31" s="56"/>
      <c r="K31" s="56"/>
      <c r="L31" s="54"/>
    </row>
    <row r="32" spans="2:12" ht="15">
      <c r="B32" s="52"/>
      <c r="C32" s="68"/>
      <c r="D32" s="119" t="s">
        <v>121</v>
      </c>
      <c r="E32" s="120" t="s">
        <v>269</v>
      </c>
      <c r="F32" s="121" t="s">
        <v>162</v>
      </c>
      <c r="G32" s="133">
        <f>G29*G8+G30*G31</f>
        <v>12600</v>
      </c>
      <c r="H32" s="122"/>
      <c r="I32" s="57"/>
      <c r="J32" s="56"/>
      <c r="K32" s="56"/>
      <c r="L32" s="54"/>
    </row>
    <row r="33" spans="2:12" ht="15">
      <c r="B33" s="52"/>
      <c r="C33" s="68"/>
      <c r="D33" s="119"/>
      <c r="E33" s="120" t="str">
        <f>"Estimated annual electricity savings after replacing "&amp;TEXT(G8,"0")&amp;" computers, as entered by user"</f>
        <v>Estimated annual electricity savings after replacing 6 computers, as entered by user</v>
      </c>
      <c r="F33" s="121" t="s">
        <v>163</v>
      </c>
      <c r="G33" s="133">
        <f>(G21-G28)*G8</f>
        <v>37.716</v>
      </c>
      <c r="H33" s="122"/>
      <c r="I33" s="57"/>
      <c r="J33" s="56"/>
      <c r="K33" s="56"/>
      <c r="L33" s="54"/>
    </row>
    <row r="34" spans="2:12" ht="15.75" thickBot="1">
      <c r="B34" s="52"/>
      <c r="C34" s="123"/>
      <c r="D34" s="124"/>
      <c r="E34" s="125" t="str">
        <f>TEXT("Estimated annual electricity savings after replacing all ","text")&amp;'3.Inputs'!J15&amp;TEXT(" computers","text")</f>
        <v>Estimated annual electricity savings after replacing all 12 computers</v>
      </c>
      <c r="F34" s="126" t="s">
        <v>164</v>
      </c>
      <c r="G34" s="134">
        <f>(G21-G28)*G7</f>
        <v>75.432</v>
      </c>
      <c r="H34" s="127"/>
      <c r="I34" s="57"/>
      <c r="J34" s="56"/>
      <c r="K34" s="56"/>
      <c r="L34" s="54"/>
    </row>
    <row r="35" spans="2:12" ht="15.75" thickBot="1">
      <c r="B35" s="52"/>
      <c r="C35" s="516" t="s">
        <v>90</v>
      </c>
      <c r="D35" s="517"/>
      <c r="E35" s="517"/>
      <c r="F35" s="517"/>
      <c r="G35" s="517"/>
      <c r="H35" s="518"/>
      <c r="I35" s="57"/>
      <c r="J35" s="56"/>
      <c r="K35" s="56"/>
      <c r="L35" s="54"/>
    </row>
    <row r="36" spans="2:12" ht="15">
      <c r="B36" s="52"/>
      <c r="C36" s="128"/>
      <c r="D36" s="129" t="s">
        <v>75</v>
      </c>
      <c r="E36" s="130" t="s">
        <v>321</v>
      </c>
      <c r="F36" s="131" t="s">
        <v>145</v>
      </c>
      <c r="G36" s="131">
        <f>'3.Inputs'!J8</f>
        <v>10</v>
      </c>
      <c r="H36" s="132" t="s">
        <v>0</v>
      </c>
      <c r="I36" s="57"/>
      <c r="J36" s="56"/>
      <c r="K36" s="56"/>
      <c r="L36" s="54"/>
    </row>
    <row r="37" spans="2:12" ht="15">
      <c r="B37" s="52"/>
      <c r="C37" s="68"/>
      <c r="D37" s="119" t="s">
        <v>76</v>
      </c>
      <c r="E37" s="120" t="s">
        <v>322</v>
      </c>
      <c r="F37" s="121" t="s">
        <v>145</v>
      </c>
      <c r="G37" s="121">
        <f>'3.Inputs'!J9</f>
        <v>3</v>
      </c>
      <c r="H37" s="122" t="s">
        <v>36</v>
      </c>
      <c r="I37" s="57"/>
      <c r="J37" s="56"/>
      <c r="K37" s="56"/>
      <c r="L37" s="54"/>
    </row>
    <row r="38" spans="2:12" ht="15">
      <c r="B38" s="52"/>
      <c r="C38" s="68"/>
      <c r="D38" s="119" t="s">
        <v>77</v>
      </c>
      <c r="E38" s="120" t="s">
        <v>323</v>
      </c>
      <c r="F38" s="121" t="s">
        <v>165</v>
      </c>
      <c r="G38" s="121">
        <f>G37*G14</f>
        <v>150</v>
      </c>
      <c r="H38" s="122" t="s">
        <v>66</v>
      </c>
      <c r="I38" s="57"/>
      <c r="J38" s="56"/>
      <c r="K38" s="56"/>
      <c r="L38" s="54"/>
    </row>
    <row r="39" spans="2:12" ht="15">
      <c r="B39" s="52"/>
      <c r="C39" s="68"/>
      <c r="D39" s="119" t="s">
        <v>78</v>
      </c>
      <c r="E39" s="120" t="str">
        <f>"Total hours of work done outside office per year with "&amp;TEXT(G8,"0")&amp;" laptops"</f>
        <v>Total hours of work done outside office per year with 6 laptops</v>
      </c>
      <c r="F39" s="121" t="s">
        <v>166</v>
      </c>
      <c r="G39" s="121">
        <f>G38*G8</f>
        <v>900</v>
      </c>
      <c r="H39" s="122" t="s">
        <v>66</v>
      </c>
      <c r="I39" s="57"/>
      <c r="J39" s="56"/>
      <c r="K39" s="56"/>
      <c r="L39" s="54"/>
    </row>
    <row r="40" spans="2:12" ht="15">
      <c r="B40" s="52"/>
      <c r="C40" s="68"/>
      <c r="D40" s="119" t="s">
        <v>79</v>
      </c>
      <c r="E40" s="120" t="str">
        <f>TEXT("Total hours of work done outside office per year with ","text")&amp;'3.Inputs'!J15&amp;TEXT(" laptops ","text")</f>
        <v>Total hours of work done outside office per year with 12 laptops </v>
      </c>
      <c r="F40" s="121" t="s">
        <v>167</v>
      </c>
      <c r="G40" s="121">
        <f>G38*G7</f>
        <v>1800</v>
      </c>
      <c r="H40" s="122" t="s">
        <v>66</v>
      </c>
      <c r="I40" s="57"/>
      <c r="J40" s="56"/>
      <c r="K40" s="56"/>
      <c r="L40" s="54"/>
    </row>
    <row r="41" spans="2:18" ht="15">
      <c r="B41" s="52"/>
      <c r="C41" s="68"/>
      <c r="D41" s="119"/>
      <c r="E41" s="120" t="str">
        <f>"Total value of work done outside office per year with "&amp;TEXT(G8,"0")&amp;" laptops "</f>
        <v>Total value of work done outside office per year with 6 laptops </v>
      </c>
      <c r="F41" s="121" t="s">
        <v>168</v>
      </c>
      <c r="G41" s="133">
        <f>G39*G36</f>
        <v>9000</v>
      </c>
      <c r="H41" s="122"/>
      <c r="I41" s="57"/>
      <c r="J41" s="56"/>
      <c r="K41" s="56"/>
      <c r="L41" s="54"/>
      <c r="R41" s="82"/>
    </row>
    <row r="42" spans="2:18" ht="15.75" thickBot="1">
      <c r="B42" s="52"/>
      <c r="C42" s="123"/>
      <c r="D42" s="124"/>
      <c r="E42" s="125" t="str">
        <f>TEXT("Total value of work doneoutside office per year with ","text")&amp;'3.Inputs'!J15&amp;TEXT(" laptops","text")</f>
        <v>Total value of work doneoutside office per year with 12 laptops</v>
      </c>
      <c r="F42" s="126" t="s">
        <v>169</v>
      </c>
      <c r="G42" s="134">
        <f>G40*G36</f>
        <v>18000</v>
      </c>
      <c r="H42" s="127"/>
      <c r="I42" s="57"/>
      <c r="J42" s="56"/>
      <c r="K42" s="56"/>
      <c r="L42" s="54"/>
      <c r="R42" s="82"/>
    </row>
    <row r="43" spans="2:18" ht="15.75" thickBot="1">
      <c r="B43" s="52"/>
      <c r="C43" s="516" t="s">
        <v>91</v>
      </c>
      <c r="D43" s="517"/>
      <c r="E43" s="517"/>
      <c r="F43" s="517"/>
      <c r="G43" s="517"/>
      <c r="H43" s="518"/>
      <c r="I43" s="57"/>
      <c r="J43" s="56"/>
      <c r="K43" s="56"/>
      <c r="L43" s="54"/>
      <c r="R43" s="82"/>
    </row>
    <row r="44" spans="2:18" ht="15">
      <c r="B44" s="52"/>
      <c r="C44" s="33" t="s">
        <v>270</v>
      </c>
      <c r="D44" s="135" t="s">
        <v>96</v>
      </c>
      <c r="E44" s="130" t="s">
        <v>271</v>
      </c>
      <c r="F44" s="131" t="s">
        <v>170</v>
      </c>
      <c r="G44" s="136">
        <f>G20*'6.Assumptions &amp; References'!D67</f>
        <v>46.8</v>
      </c>
      <c r="H44" s="132" t="s">
        <v>298</v>
      </c>
      <c r="I44" s="30"/>
      <c r="J44" s="56"/>
      <c r="K44" s="56"/>
      <c r="L44" s="54"/>
      <c r="R44" s="82"/>
    </row>
    <row r="45" spans="2:18" ht="15">
      <c r="B45" s="52"/>
      <c r="C45" s="68"/>
      <c r="D45" s="37" t="s">
        <v>97</v>
      </c>
      <c r="E45" s="120" t="s">
        <v>272</v>
      </c>
      <c r="F45" s="121" t="s">
        <v>171</v>
      </c>
      <c r="G45" s="137">
        <f>G27*'6.Assumptions &amp; References'!D67</f>
        <v>25.8</v>
      </c>
      <c r="H45" s="132" t="s">
        <v>298</v>
      </c>
      <c r="I45" s="57"/>
      <c r="J45" s="56"/>
      <c r="K45" s="56"/>
      <c r="L45" s="54"/>
      <c r="R45" s="82"/>
    </row>
    <row r="46" spans="2:18" ht="15">
      <c r="B46" s="52"/>
      <c r="C46" s="68"/>
      <c r="D46" s="37" t="s">
        <v>98</v>
      </c>
      <c r="E46" s="120" t="s">
        <v>172</v>
      </c>
      <c r="F46" s="121" t="s">
        <v>173</v>
      </c>
      <c r="G46" s="137">
        <f>G44*G7</f>
        <v>561.5999999999999</v>
      </c>
      <c r="H46" s="132" t="s">
        <v>298</v>
      </c>
      <c r="I46" s="57"/>
      <c r="J46" s="56"/>
      <c r="K46" s="56"/>
      <c r="L46" s="54"/>
      <c r="R46" s="82"/>
    </row>
    <row r="47" spans="2:18" ht="15">
      <c r="B47" s="52"/>
      <c r="C47" s="68"/>
      <c r="D47" s="37" t="s">
        <v>99</v>
      </c>
      <c r="E47" s="120" t="str">
        <f>"Total annual carbon emissions after replacing "&amp;TEXT(G8,"0")&amp;" computers "</f>
        <v>Total annual carbon emissions after replacing 6 computers </v>
      </c>
      <c r="F47" s="121" t="s">
        <v>175</v>
      </c>
      <c r="G47" s="137">
        <f>(G45*G8)+(G44*(G7-G8))</f>
        <v>435.59999999999997</v>
      </c>
      <c r="H47" s="132" t="s">
        <v>298</v>
      </c>
      <c r="I47" s="57"/>
      <c r="J47" s="56"/>
      <c r="K47" s="56"/>
      <c r="L47" s="54"/>
      <c r="R47" s="82"/>
    </row>
    <row r="48" spans="2:18" ht="15.75" thickBot="1">
      <c r="B48" s="52"/>
      <c r="C48" s="123"/>
      <c r="D48" s="138" t="s">
        <v>100</v>
      </c>
      <c r="E48" s="125" t="str">
        <f>TEXT("Total annual carbon emissions after replacing all ","text")&amp;'3.Inputs'!J15&amp;TEXT(" computers","text")</f>
        <v>Total annual carbon emissions after replacing all 12 computers</v>
      </c>
      <c r="F48" s="126" t="s">
        <v>174</v>
      </c>
      <c r="G48" s="139">
        <f>G45*G7</f>
        <v>309.6</v>
      </c>
      <c r="H48" s="132" t="s">
        <v>298</v>
      </c>
      <c r="I48" s="57"/>
      <c r="J48" s="56"/>
      <c r="K48" s="56"/>
      <c r="L48" s="54"/>
      <c r="R48" s="82"/>
    </row>
    <row r="49" spans="2:18" ht="15.75" thickBot="1">
      <c r="B49" s="52"/>
      <c r="C49" s="516" t="s">
        <v>92</v>
      </c>
      <c r="D49" s="517"/>
      <c r="E49" s="517"/>
      <c r="F49" s="517"/>
      <c r="G49" s="517"/>
      <c r="H49" s="518"/>
      <c r="I49" s="57"/>
      <c r="J49" s="56"/>
      <c r="K49" s="56"/>
      <c r="L49" s="54"/>
      <c r="R49" s="82"/>
    </row>
    <row r="50" spans="2:18" ht="15">
      <c r="B50" s="52"/>
      <c r="C50" s="33" t="s">
        <v>273</v>
      </c>
      <c r="D50" s="135" t="s">
        <v>101</v>
      </c>
      <c r="E50" s="130" t="s">
        <v>276</v>
      </c>
      <c r="F50" s="131" t="s">
        <v>176</v>
      </c>
      <c r="G50" s="140">
        <f>G20*'6.Assumptions &amp; References'!D78*'6.Assumptions &amp; References'!D75</f>
        <v>0.20592000000000002</v>
      </c>
      <c r="H50" s="132" t="s">
        <v>298</v>
      </c>
      <c r="I50" s="30"/>
      <c r="J50" s="56"/>
      <c r="K50" s="56"/>
      <c r="L50" s="54"/>
      <c r="R50" s="82"/>
    </row>
    <row r="51" spans="2:12" ht="15">
      <c r="B51" s="52"/>
      <c r="C51" s="32" t="s">
        <v>274</v>
      </c>
      <c r="D51" s="37" t="s">
        <v>102</v>
      </c>
      <c r="E51" s="120" t="s">
        <v>277</v>
      </c>
      <c r="F51" s="121" t="s">
        <v>177</v>
      </c>
      <c r="G51" s="141">
        <f>G27*'6.Assumptions &amp; References'!D78*'6.Assumptions &amp; References'!D75</f>
        <v>0.11352000000000001</v>
      </c>
      <c r="H51" s="132" t="s">
        <v>298</v>
      </c>
      <c r="I51" s="30"/>
      <c r="J51" s="56"/>
      <c r="K51" s="56"/>
      <c r="L51" s="54"/>
    </row>
    <row r="52" spans="2:12" ht="15">
      <c r="B52" s="52"/>
      <c r="C52" s="32" t="s">
        <v>273</v>
      </c>
      <c r="D52" s="37" t="s">
        <v>103</v>
      </c>
      <c r="E52" s="120" t="s">
        <v>178</v>
      </c>
      <c r="F52" s="121" t="s">
        <v>179</v>
      </c>
      <c r="G52" s="141">
        <f>G50*G7</f>
        <v>2.4710400000000003</v>
      </c>
      <c r="H52" s="132" t="s">
        <v>298</v>
      </c>
      <c r="I52" s="57"/>
      <c r="J52" s="56"/>
      <c r="K52" s="56"/>
      <c r="L52" s="54"/>
    </row>
    <row r="53" spans="2:12" ht="15">
      <c r="B53" s="52"/>
      <c r="C53" s="68"/>
      <c r="D53" s="37" t="s">
        <v>104</v>
      </c>
      <c r="E53" s="120" t="str">
        <f>"Total annual SO2 emissions after replacing "&amp;TEXT(G8,"0")&amp;" computers "</f>
        <v>Total annual SO2 emissions after replacing 6 computers </v>
      </c>
      <c r="F53" s="121" t="s">
        <v>180</v>
      </c>
      <c r="G53" s="141">
        <f>(G51*G8)+(G50*(G7-G8))</f>
        <v>1.9166400000000001</v>
      </c>
      <c r="H53" s="132" t="s">
        <v>298</v>
      </c>
      <c r="I53" s="57"/>
      <c r="J53" s="56"/>
      <c r="K53" s="56"/>
      <c r="L53" s="54"/>
    </row>
    <row r="54" spans="2:12" ht="15.75" thickBot="1">
      <c r="B54" s="52"/>
      <c r="C54" s="123"/>
      <c r="D54" s="138" t="s">
        <v>105</v>
      </c>
      <c r="E54" s="120" t="str">
        <f>"Total annual SO2 emissions after replacing all "&amp;TEXT('3.Inputs'!J15,"0")&amp;" computers "</f>
        <v>Total annual SO2 emissions after replacing all 12 computers </v>
      </c>
      <c r="F54" s="126" t="s">
        <v>181</v>
      </c>
      <c r="G54" s="142">
        <f>G51*G7</f>
        <v>1.3622400000000001</v>
      </c>
      <c r="H54" s="132" t="s">
        <v>298</v>
      </c>
      <c r="I54" s="57"/>
      <c r="J54" s="56"/>
      <c r="K54" s="56"/>
      <c r="L54" s="54"/>
    </row>
    <row r="55" spans="2:12" ht="15.75" thickBot="1">
      <c r="B55" s="52"/>
      <c r="C55" s="516" t="s">
        <v>93</v>
      </c>
      <c r="D55" s="517"/>
      <c r="E55" s="517"/>
      <c r="F55" s="517"/>
      <c r="G55" s="517"/>
      <c r="H55" s="518"/>
      <c r="I55" s="57"/>
      <c r="J55" s="56"/>
      <c r="K55" s="56"/>
      <c r="L55" s="54"/>
    </row>
    <row r="56" spans="2:12" ht="15">
      <c r="B56" s="52"/>
      <c r="C56" s="33" t="s">
        <v>275</v>
      </c>
      <c r="D56" s="135" t="s">
        <v>106</v>
      </c>
      <c r="E56" s="130" t="s">
        <v>278</v>
      </c>
      <c r="F56" s="131" t="s">
        <v>176</v>
      </c>
      <c r="G56" s="143">
        <f>G20*'6.Assumptions &amp; References'!D78*'6.Assumptions &amp; References'!D72</f>
        <v>0.09266400000000001</v>
      </c>
      <c r="H56" s="132" t="s">
        <v>298</v>
      </c>
      <c r="I56" s="30"/>
      <c r="J56" s="56"/>
      <c r="K56" s="56"/>
      <c r="L56" s="54"/>
    </row>
    <row r="57" spans="2:12" ht="15">
      <c r="B57" s="52"/>
      <c r="C57" s="32" t="s">
        <v>274</v>
      </c>
      <c r="D57" s="37" t="s">
        <v>107</v>
      </c>
      <c r="E57" s="120" t="s">
        <v>279</v>
      </c>
      <c r="F57" s="121" t="s">
        <v>177</v>
      </c>
      <c r="G57" s="144">
        <f>G27*'6.Assumptions &amp; References'!D78*'6.Assumptions &amp; References'!D72</f>
        <v>0.051084000000000004</v>
      </c>
      <c r="H57" s="132" t="s">
        <v>298</v>
      </c>
      <c r="I57" s="30"/>
      <c r="J57" s="56"/>
      <c r="K57" s="56"/>
      <c r="L57" s="54"/>
    </row>
    <row r="58" spans="2:12" ht="15">
      <c r="B58" s="52"/>
      <c r="C58" s="32" t="s">
        <v>275</v>
      </c>
      <c r="D58" s="37" t="s">
        <v>108</v>
      </c>
      <c r="E58" s="120" t="s">
        <v>182</v>
      </c>
      <c r="F58" s="121" t="s">
        <v>183</v>
      </c>
      <c r="G58" s="144">
        <f>G56*G7</f>
        <v>1.111968</v>
      </c>
      <c r="H58" s="132" t="s">
        <v>298</v>
      </c>
      <c r="I58" s="57"/>
      <c r="J58" s="56"/>
      <c r="K58" s="56"/>
      <c r="L58" s="54"/>
    </row>
    <row r="59" spans="2:12" ht="15">
      <c r="B59" s="52"/>
      <c r="C59" s="68"/>
      <c r="D59" s="37" t="s">
        <v>109</v>
      </c>
      <c r="E59" s="120" t="str">
        <f>"Total annual Nox emissions after replacing "&amp;TEXT(G8,"0")&amp;" computers"</f>
        <v>Total annual Nox emissions after replacing 6 computers</v>
      </c>
      <c r="F59" s="121" t="s">
        <v>184</v>
      </c>
      <c r="G59" s="144">
        <f>(G57*G8)+(G56*(G7-G8))</f>
        <v>0.862488</v>
      </c>
      <c r="H59" s="132" t="s">
        <v>298</v>
      </c>
      <c r="I59" s="57"/>
      <c r="J59" s="56"/>
      <c r="K59" s="56"/>
      <c r="L59" s="54"/>
    </row>
    <row r="60" spans="2:12" ht="15.75" thickBot="1">
      <c r="B60" s="52"/>
      <c r="C60" s="123"/>
      <c r="D60" s="138" t="s">
        <v>110</v>
      </c>
      <c r="E60" s="120" t="str">
        <f>"Total annual Nox emissions after replacing all "&amp;TEXT('3.Inputs'!J15,"0")&amp;" computers"</f>
        <v>Total annual Nox emissions after replacing all 12 computers</v>
      </c>
      <c r="F60" s="126" t="s">
        <v>185</v>
      </c>
      <c r="G60" s="145">
        <f>G57*G7</f>
        <v>0.613008</v>
      </c>
      <c r="H60" s="132" t="s">
        <v>298</v>
      </c>
      <c r="I60" s="57"/>
      <c r="J60" s="56"/>
      <c r="K60" s="56"/>
      <c r="L60" s="54"/>
    </row>
    <row r="61" spans="2:12" ht="15.75" thickBot="1">
      <c r="B61" s="52"/>
      <c r="C61" s="516" t="s">
        <v>136</v>
      </c>
      <c r="D61" s="517"/>
      <c r="E61" s="517"/>
      <c r="F61" s="517"/>
      <c r="G61" s="517"/>
      <c r="H61" s="518"/>
      <c r="I61" s="57"/>
      <c r="J61" s="56"/>
      <c r="K61" s="56"/>
      <c r="L61" s="54"/>
    </row>
    <row r="62" spans="2:12" ht="15">
      <c r="B62" s="52"/>
      <c r="C62" s="128"/>
      <c r="D62" s="129" t="s">
        <v>137</v>
      </c>
      <c r="E62" s="130" t="s">
        <v>280</v>
      </c>
      <c r="F62" s="131" t="s">
        <v>145</v>
      </c>
      <c r="G62" s="131">
        <f>'3.Inputs'!J10</f>
        <v>4</v>
      </c>
      <c r="H62" s="132" t="s">
        <v>141</v>
      </c>
      <c r="I62" s="57"/>
      <c r="J62" s="56"/>
      <c r="K62" s="56"/>
      <c r="L62" s="54"/>
    </row>
    <row r="63" spans="2:12" ht="15">
      <c r="B63" s="52"/>
      <c r="C63" s="68"/>
      <c r="D63" s="119" t="s">
        <v>138</v>
      </c>
      <c r="E63" s="120" t="s">
        <v>281</v>
      </c>
      <c r="F63" s="121" t="s">
        <v>145</v>
      </c>
      <c r="G63" s="133">
        <f>'3.Inputs'!J11</f>
        <v>50</v>
      </c>
      <c r="H63" s="122" t="s">
        <v>282</v>
      </c>
      <c r="I63" s="57"/>
      <c r="J63" s="56"/>
      <c r="K63" s="56"/>
      <c r="L63" s="54"/>
    </row>
    <row r="64" spans="2:12" ht="15">
      <c r="B64" s="52"/>
      <c r="C64" s="123"/>
      <c r="D64" s="124" t="s">
        <v>139</v>
      </c>
      <c r="E64" s="125" t="str">
        <f>TEXT("Total labour cost to re-image ","text")&amp;'3.Inputs'!J23&amp;TEXT(" computers","text")</f>
        <v>Total labour cost to re-image 6 computers</v>
      </c>
      <c r="F64" s="126" t="s">
        <v>287</v>
      </c>
      <c r="G64" s="134">
        <f>G63*G62*'5.Projected Savings'!G8</f>
        <v>1200</v>
      </c>
      <c r="H64" s="127"/>
      <c r="I64" s="57"/>
      <c r="J64" s="56"/>
      <c r="K64" s="56"/>
      <c r="L64" s="54"/>
    </row>
    <row r="65" spans="2:12" ht="15.75" thickBot="1">
      <c r="B65" s="52"/>
      <c r="C65" s="63"/>
      <c r="D65" s="146" t="s">
        <v>140</v>
      </c>
      <c r="E65" s="147" t="str">
        <f>TEXT("Total labour cost to re-image all ","text")&amp;'3.Inputs'!J15&amp;TEXT(" computers","text")</f>
        <v>Total labour cost to re-image all 12 computers</v>
      </c>
      <c r="F65" s="148" t="s">
        <v>288</v>
      </c>
      <c r="G65" s="149">
        <f>G63*G62*G7</f>
        <v>2400</v>
      </c>
      <c r="H65" s="150"/>
      <c r="I65" s="57"/>
      <c r="J65" s="56"/>
      <c r="K65" s="56"/>
      <c r="L65" s="54"/>
    </row>
    <row r="66" spans="2:12" ht="15">
      <c r="B66" s="52"/>
      <c r="C66" s="55"/>
      <c r="D66" s="55"/>
      <c r="E66" s="57"/>
      <c r="F66" s="56"/>
      <c r="G66" s="56"/>
      <c r="H66" s="56"/>
      <c r="I66" s="57"/>
      <c r="J66" s="56"/>
      <c r="K66" s="56"/>
      <c r="L66" s="54"/>
    </row>
    <row r="67" spans="2:12" ht="15.75" thickBot="1">
      <c r="B67" s="52"/>
      <c r="C67" s="55"/>
      <c r="D67" s="55"/>
      <c r="E67" s="57"/>
      <c r="F67" s="56"/>
      <c r="G67" s="56"/>
      <c r="H67" s="56"/>
      <c r="I67" s="57"/>
      <c r="J67" s="56"/>
      <c r="K67" s="56"/>
      <c r="L67" s="54"/>
    </row>
    <row r="68" spans="2:12" ht="30.75" thickBot="1">
      <c r="B68" s="52"/>
      <c r="C68" s="151" t="s">
        <v>229</v>
      </c>
      <c r="D68" s="560" t="s">
        <v>196</v>
      </c>
      <c r="E68" s="561"/>
      <c r="F68" s="561"/>
      <c r="G68" s="561"/>
      <c r="H68" s="561"/>
      <c r="I68" s="561"/>
      <c r="J68" s="561"/>
      <c r="K68" s="562"/>
      <c r="L68" s="54"/>
    </row>
    <row r="69" spans="2:12" ht="15.75" thickBot="1">
      <c r="B69" s="52"/>
      <c r="C69" s="59"/>
      <c r="D69" s="152"/>
      <c r="E69" s="153"/>
      <c r="F69" s="154" t="s">
        <v>39</v>
      </c>
      <c r="G69" s="155" t="s">
        <v>18</v>
      </c>
      <c r="H69" s="156" t="s">
        <v>19</v>
      </c>
      <c r="I69" s="155" t="s">
        <v>20</v>
      </c>
      <c r="J69" s="155" t="s">
        <v>21</v>
      </c>
      <c r="K69" s="157" t="s">
        <v>22</v>
      </c>
      <c r="L69" s="54"/>
    </row>
    <row r="70" spans="2:12" ht="15.75" thickBot="1">
      <c r="B70" s="52"/>
      <c r="C70" s="226"/>
      <c r="D70" s="516" t="s">
        <v>326</v>
      </c>
      <c r="E70" s="517"/>
      <c r="F70" s="517"/>
      <c r="G70" s="517"/>
      <c r="H70" s="517"/>
      <c r="I70" s="517"/>
      <c r="J70" s="517"/>
      <c r="K70" s="518"/>
      <c r="L70" s="54"/>
    </row>
    <row r="71" spans="2:12" ht="15">
      <c r="B71" s="52"/>
      <c r="C71" s="158"/>
      <c r="D71" s="556" t="str">
        <f>TEXT("Purchase (replacement) cost of current computer (replacing ","text")&amp;'3.Inputs'!J23&amp;TEXT(" computers)","text")</f>
        <v>Purchase (replacement) cost of current computer (replacing 6 computers)</v>
      </c>
      <c r="E71" s="557"/>
      <c r="F71" s="159">
        <f>IF('3.Inputs'!K31="Case 2",0,G23)</f>
        <v>3000</v>
      </c>
      <c r="G71" s="159">
        <v>0</v>
      </c>
      <c r="H71" s="160">
        <v>0</v>
      </c>
      <c r="I71" s="159">
        <v>0</v>
      </c>
      <c r="J71" s="159">
        <v>0</v>
      </c>
      <c r="K71" s="161">
        <v>0</v>
      </c>
      <c r="L71" s="54"/>
    </row>
    <row r="72" spans="2:12" ht="15">
      <c r="B72" s="52"/>
      <c r="C72" s="158"/>
      <c r="D72" s="546" t="str">
        <f>TEXT("Purchase cost of green alternative computer (replacing ","text")&amp;'3.Inputs'!J23&amp;TEXT(" computers)","text")</f>
        <v>Purchase cost of green alternative computer (replacing 6 computers)</v>
      </c>
      <c r="E72" s="547"/>
      <c r="F72" s="162">
        <f>G32</f>
        <v>12600</v>
      </c>
      <c r="G72" s="162">
        <v>0</v>
      </c>
      <c r="H72" s="163">
        <v>0</v>
      </c>
      <c r="I72" s="162">
        <v>0</v>
      </c>
      <c r="J72" s="162">
        <v>0</v>
      </c>
      <c r="K72" s="164">
        <v>0</v>
      </c>
      <c r="L72" s="54"/>
    </row>
    <row r="73" spans="2:12" ht="15">
      <c r="B73" s="52"/>
      <c r="C73" s="158"/>
      <c r="D73" s="548" t="str">
        <f>TEXT("Annual energy cost of current computer model (all ","text")&amp;'3.Inputs'!$J$15&amp;TEXT(" computers)","text")</f>
        <v>Annual energy cost of current computer model (all 12 computers)</v>
      </c>
      <c r="E73" s="547"/>
      <c r="F73" s="162">
        <v>0</v>
      </c>
      <c r="G73" s="162">
        <f>G21*G7</f>
        <v>168.1056</v>
      </c>
      <c r="H73" s="163">
        <f>G73*(1+('6.Assumptions &amp; References'!$D$63/100))</f>
        <v>171.467712</v>
      </c>
      <c r="I73" s="162">
        <f>H73*(1+('6.Assumptions &amp; References'!$D$63/100))</f>
        <v>174.89706624000002</v>
      </c>
      <c r="J73" s="162">
        <f>I73*(1+('6.Assumptions &amp; References'!$D$63/100))</f>
        <v>178.3950075648</v>
      </c>
      <c r="K73" s="164">
        <f>J73*(1+('6.Assumptions &amp; References'!$D$63/100))</f>
        <v>181.96290771609603</v>
      </c>
      <c r="L73" s="54"/>
    </row>
    <row r="74" spans="2:12" ht="15">
      <c r="B74" s="52"/>
      <c r="C74" s="158"/>
      <c r="D74" s="548" t="str">
        <f>TEXT("Annual energy cost of new computer set up (including ","text")&amp;'3.Inputs'!J23&amp;TEXT(" green alternative computers)","text")</f>
        <v>Annual energy cost of new computer set up (including 6 green alternative computers)</v>
      </c>
      <c r="E74" s="547"/>
      <c r="F74" s="162">
        <v>0</v>
      </c>
      <c r="G74" s="162">
        <f>((($G$7-$G$8)*$G$21)+($G$8*$G$28))*(1+'6.Assumptions &amp; References'!D63/100)</f>
        <v>132.997392</v>
      </c>
      <c r="H74" s="162">
        <f>G74*(1+'6.Assumptions &amp; References'!$D$63/100)</f>
        <v>135.65733984</v>
      </c>
      <c r="I74" s="162">
        <f>H74*(1+'6.Assumptions &amp; References'!$D$63/100)</f>
        <v>138.3704866368</v>
      </c>
      <c r="J74" s="162">
        <f>I74*(1+'6.Assumptions &amp; References'!$D$63/100)</f>
        <v>141.137896369536</v>
      </c>
      <c r="K74" s="164">
        <f>J74*(1+'6.Assumptions &amp; References'!$D$63/100)</f>
        <v>143.96065429692672</v>
      </c>
      <c r="L74" s="54"/>
    </row>
    <row r="75" spans="2:12" ht="15">
      <c r="B75" s="52"/>
      <c r="C75" s="158"/>
      <c r="D75" s="548" t="str">
        <f>TEXT("Total one-time costs at set-up (i.e. re-imaging of ","text")&amp;G8&amp;TEXT(" replacement computers)","text")</f>
        <v>Total one-time costs at set-up (i.e. re-imaging of 6 replacement computers)</v>
      </c>
      <c r="E75" s="482"/>
      <c r="F75" s="162">
        <f>G64</f>
        <v>1200</v>
      </c>
      <c r="G75" s="162">
        <v>0</v>
      </c>
      <c r="H75" s="163">
        <v>0</v>
      </c>
      <c r="I75" s="162">
        <v>0</v>
      </c>
      <c r="J75" s="162">
        <v>0</v>
      </c>
      <c r="K75" s="164">
        <v>0</v>
      </c>
      <c r="L75" s="54"/>
    </row>
    <row r="76" spans="2:12" ht="15">
      <c r="B76" s="52"/>
      <c r="C76" s="158"/>
      <c r="D76" s="546" t="s">
        <v>37</v>
      </c>
      <c r="E76" s="547"/>
      <c r="F76" s="162">
        <f>(F71-F72-F75)+(F73-F74)</f>
        <v>-10800</v>
      </c>
      <c r="G76" s="162">
        <f>(G71-G72)+(G73-G74)</f>
        <v>35.10820800000002</v>
      </c>
      <c r="H76" s="162">
        <f>(H71-H72)+(H73-H74)</f>
        <v>35.810372160000014</v>
      </c>
      <c r="I76" s="162">
        <f>(I71-I72)+(I73-I74)</f>
        <v>36.52657960320002</v>
      </c>
      <c r="J76" s="162">
        <f>(J71-J72)+(J73-J74)</f>
        <v>37.257111195264</v>
      </c>
      <c r="K76" s="164">
        <f>(K71-K72)+(K73-K74)</f>
        <v>38.00225341916931</v>
      </c>
      <c r="L76" s="54"/>
    </row>
    <row r="77" spans="2:12" ht="15.75" thickBot="1">
      <c r="B77" s="52"/>
      <c r="C77" s="158"/>
      <c r="D77" s="536" t="s">
        <v>38</v>
      </c>
      <c r="E77" s="537"/>
      <c r="F77" s="165">
        <v>0</v>
      </c>
      <c r="G77" s="165">
        <f>G41</f>
        <v>9000</v>
      </c>
      <c r="H77" s="165">
        <f>G77</f>
        <v>9000</v>
      </c>
      <c r="I77" s="165">
        <f>H77</f>
        <v>9000</v>
      </c>
      <c r="J77" s="165">
        <f>I77</f>
        <v>9000</v>
      </c>
      <c r="K77" s="166">
        <f>J77</f>
        <v>9000</v>
      </c>
      <c r="L77" s="54"/>
    </row>
    <row r="78" spans="2:12" ht="15.75" thickTop="1">
      <c r="B78" s="52"/>
      <c r="C78" s="158"/>
      <c r="D78" s="538" t="s">
        <v>284</v>
      </c>
      <c r="E78" s="539"/>
      <c r="F78" s="167">
        <f aca="true" t="shared" si="0" ref="F78:K78">SUM(F76:F77)</f>
        <v>-10800</v>
      </c>
      <c r="G78" s="167">
        <f t="shared" si="0"/>
        <v>9035.108208</v>
      </c>
      <c r="H78" s="167">
        <f t="shared" si="0"/>
        <v>9035.81037216</v>
      </c>
      <c r="I78" s="167">
        <f t="shared" si="0"/>
        <v>9036.5265796032</v>
      </c>
      <c r="J78" s="167">
        <f t="shared" si="0"/>
        <v>9037.257111195264</v>
      </c>
      <c r="K78" s="168">
        <f t="shared" si="0"/>
        <v>9038.002253419168</v>
      </c>
      <c r="L78" s="54"/>
    </row>
    <row r="79" spans="2:12" ht="15">
      <c r="B79" s="52"/>
      <c r="C79" s="169"/>
      <c r="D79" s="540" t="s">
        <v>285</v>
      </c>
      <c r="E79" s="541"/>
      <c r="F79" s="170">
        <f>F78</f>
        <v>-10800</v>
      </c>
      <c r="G79" s="170">
        <f>F79+G78</f>
        <v>-1764.8917920000004</v>
      </c>
      <c r="H79" s="171">
        <f>G79+H78</f>
        <v>7270.91858016</v>
      </c>
      <c r="I79" s="170">
        <f>H79+I78</f>
        <v>16307.4451597632</v>
      </c>
      <c r="J79" s="170">
        <f>I79+J78</f>
        <v>25344.702270958463</v>
      </c>
      <c r="K79" s="172">
        <f>J79+K78</f>
        <v>34382.70452437763</v>
      </c>
      <c r="L79" s="54"/>
    </row>
    <row r="80" spans="2:12" ht="15">
      <c r="B80" s="52"/>
      <c r="C80" s="36" t="s">
        <v>318</v>
      </c>
      <c r="D80" s="371" t="s">
        <v>306</v>
      </c>
      <c r="E80" s="372"/>
      <c r="F80" s="173">
        <v>0</v>
      </c>
      <c r="G80" s="173">
        <f>'6.Assumptions &amp; References'!G96</f>
        <v>0.013</v>
      </c>
      <c r="H80" s="173">
        <f>'6.Assumptions &amp; References'!H96</f>
        <v>0.0169</v>
      </c>
      <c r="I80" s="173">
        <f>'6.Assumptions &amp; References'!I96</f>
        <v>0.0207</v>
      </c>
      <c r="J80" s="173">
        <f>'6.Assumptions &amp; References'!J96</f>
        <v>0.0235</v>
      </c>
      <c r="K80" s="174">
        <f>'6.Assumptions &amp; References'!K96</f>
        <v>0.0262</v>
      </c>
      <c r="L80" s="54"/>
    </row>
    <row r="81" spans="2:12" ht="15">
      <c r="B81" s="52"/>
      <c r="C81" s="36" t="s">
        <v>318</v>
      </c>
      <c r="D81" s="175" t="s">
        <v>307</v>
      </c>
      <c r="E81" s="176"/>
      <c r="F81" s="162">
        <f>F78/(1+F80)</f>
        <v>-10800</v>
      </c>
      <c r="G81" s="162">
        <f>G78/((1+G80)*(1+F80))</f>
        <v>8919.159139190524</v>
      </c>
      <c r="H81" s="163">
        <f>H78/((1+H80)*(1+G80)*(1+F80))</f>
        <v>8771.612048735698</v>
      </c>
      <c r="I81" s="162">
        <f>I78/((1+I80)*(1+H80)*(1+G80)*(1+F80))</f>
        <v>8594.403169362735</v>
      </c>
      <c r="J81" s="162">
        <f>J78/((1+J80)*(1+I80)*(1+H80)*(1+G80)*(1+F80))</f>
        <v>8397.750814635385</v>
      </c>
      <c r="K81" s="164">
        <f>K78/((1+K80)*(1+J80)*(1+I80)*(1+H80)*(1+G80)*(1+F80))</f>
        <v>8184.021855508994</v>
      </c>
      <c r="L81" s="54"/>
    </row>
    <row r="82" spans="2:12" ht="15.75" thickBot="1">
      <c r="B82" s="52"/>
      <c r="C82" s="169"/>
      <c r="D82" s="392" t="s">
        <v>308</v>
      </c>
      <c r="E82" s="393"/>
      <c r="F82" s="231">
        <f>F81</f>
        <v>-10800</v>
      </c>
      <c r="G82" s="231">
        <f>F82+G81</f>
        <v>-1880.840860809476</v>
      </c>
      <c r="H82" s="231">
        <f>G82+H81</f>
        <v>6890.771187926222</v>
      </c>
      <c r="I82" s="231">
        <f>H82+I81</f>
        <v>15485.174357288957</v>
      </c>
      <c r="J82" s="231">
        <f>I82+J81</f>
        <v>23882.92517192434</v>
      </c>
      <c r="K82" s="232">
        <f>J82+K81</f>
        <v>32066.947027433336</v>
      </c>
      <c r="L82" s="54"/>
    </row>
    <row r="83" spans="2:12" ht="15.75" thickBot="1">
      <c r="B83" s="52"/>
      <c r="C83" s="169"/>
      <c r="D83" s="530"/>
      <c r="E83" s="531"/>
      <c r="F83" s="531"/>
      <c r="G83" s="531"/>
      <c r="H83" s="531"/>
      <c r="I83" s="531"/>
      <c r="J83" s="531"/>
      <c r="K83" s="532"/>
      <c r="L83" s="54"/>
    </row>
    <row r="84" spans="2:12" ht="15.75" thickBot="1">
      <c r="B84" s="52"/>
      <c r="C84" s="169"/>
      <c r="D84" s="519" t="s">
        <v>327</v>
      </c>
      <c r="E84" s="520"/>
      <c r="F84" s="520"/>
      <c r="G84" s="520"/>
      <c r="H84" s="520"/>
      <c r="I84" s="520"/>
      <c r="J84" s="520"/>
      <c r="K84" s="521"/>
      <c r="L84" s="54"/>
    </row>
    <row r="85" spans="2:12" ht="15">
      <c r="B85" s="52"/>
      <c r="C85" s="169"/>
      <c r="D85" s="556" t="str">
        <f>D71</f>
        <v>Purchase (replacement) cost of current computer (replacing 6 computers)</v>
      </c>
      <c r="E85" s="557"/>
      <c r="F85" s="159">
        <f aca="true" t="shared" si="1" ref="F85:K85">F71</f>
        <v>3000</v>
      </c>
      <c r="G85" s="159">
        <f t="shared" si="1"/>
        <v>0</v>
      </c>
      <c r="H85" s="160">
        <f t="shared" si="1"/>
        <v>0</v>
      </c>
      <c r="I85" s="159">
        <f t="shared" si="1"/>
        <v>0</v>
      </c>
      <c r="J85" s="159">
        <f t="shared" si="1"/>
        <v>0</v>
      </c>
      <c r="K85" s="161">
        <f t="shared" si="1"/>
        <v>0</v>
      </c>
      <c r="L85" s="54"/>
    </row>
    <row r="86" spans="2:12" ht="15">
      <c r="B86" s="52"/>
      <c r="C86" s="169"/>
      <c r="D86" s="546" t="str">
        <f aca="true" t="shared" si="2" ref="D86:D93">D72</f>
        <v>Purchase cost of green alternative computer (replacing 6 computers)</v>
      </c>
      <c r="E86" s="547"/>
      <c r="F86" s="162">
        <f aca="true" t="shared" si="3" ref="F86:K91">F72</f>
        <v>12600</v>
      </c>
      <c r="G86" s="162">
        <f t="shared" si="3"/>
        <v>0</v>
      </c>
      <c r="H86" s="163">
        <f t="shared" si="3"/>
        <v>0</v>
      </c>
      <c r="I86" s="162">
        <f t="shared" si="3"/>
        <v>0</v>
      </c>
      <c r="J86" s="162">
        <f t="shared" si="3"/>
        <v>0</v>
      </c>
      <c r="K86" s="164">
        <f t="shared" si="3"/>
        <v>0</v>
      </c>
      <c r="L86" s="54"/>
    </row>
    <row r="87" spans="2:12" ht="15">
      <c r="B87" s="52"/>
      <c r="C87" s="169"/>
      <c r="D87" s="548" t="str">
        <f t="shared" si="2"/>
        <v>Annual energy cost of current computer model (all 12 computers)</v>
      </c>
      <c r="E87" s="547"/>
      <c r="F87" s="162">
        <f t="shared" si="3"/>
        <v>0</v>
      </c>
      <c r="G87" s="162">
        <f t="shared" si="3"/>
        <v>168.1056</v>
      </c>
      <c r="H87" s="163">
        <f t="shared" si="3"/>
        <v>171.467712</v>
      </c>
      <c r="I87" s="162">
        <f t="shared" si="3"/>
        <v>174.89706624000002</v>
      </c>
      <c r="J87" s="162">
        <f t="shared" si="3"/>
        <v>178.3950075648</v>
      </c>
      <c r="K87" s="164">
        <f t="shared" si="3"/>
        <v>181.96290771609603</v>
      </c>
      <c r="L87" s="54"/>
    </row>
    <row r="88" spans="2:12" ht="15">
      <c r="B88" s="52"/>
      <c r="C88" s="169"/>
      <c r="D88" s="548" t="str">
        <f t="shared" si="2"/>
        <v>Annual energy cost of new computer set up (including 6 green alternative computers)</v>
      </c>
      <c r="E88" s="547"/>
      <c r="F88" s="162">
        <f t="shared" si="3"/>
        <v>0</v>
      </c>
      <c r="G88" s="162">
        <f t="shared" si="3"/>
        <v>132.997392</v>
      </c>
      <c r="H88" s="162">
        <f t="shared" si="3"/>
        <v>135.65733984</v>
      </c>
      <c r="I88" s="162">
        <f t="shared" si="3"/>
        <v>138.3704866368</v>
      </c>
      <c r="J88" s="162">
        <f t="shared" si="3"/>
        <v>141.137896369536</v>
      </c>
      <c r="K88" s="164">
        <f t="shared" si="3"/>
        <v>143.96065429692672</v>
      </c>
      <c r="L88" s="54"/>
    </row>
    <row r="89" spans="2:12" ht="15">
      <c r="B89" s="52"/>
      <c r="C89" s="169"/>
      <c r="D89" s="548" t="str">
        <f t="shared" si="2"/>
        <v>Total one-time costs at set-up (i.e. re-imaging of 6 replacement computers)</v>
      </c>
      <c r="E89" s="482"/>
      <c r="F89" s="162">
        <f t="shared" si="3"/>
        <v>1200</v>
      </c>
      <c r="G89" s="162">
        <f t="shared" si="3"/>
        <v>0</v>
      </c>
      <c r="H89" s="163">
        <f t="shared" si="3"/>
        <v>0</v>
      </c>
      <c r="I89" s="162">
        <f t="shared" si="3"/>
        <v>0</v>
      </c>
      <c r="J89" s="162">
        <f t="shared" si="3"/>
        <v>0</v>
      </c>
      <c r="K89" s="164">
        <f t="shared" si="3"/>
        <v>0</v>
      </c>
      <c r="L89" s="54"/>
    </row>
    <row r="90" spans="2:12" ht="15">
      <c r="B90" s="52"/>
      <c r="C90" s="169"/>
      <c r="D90" s="546" t="str">
        <f t="shared" si="2"/>
        <v>Cash Flows from Savings</v>
      </c>
      <c r="E90" s="547"/>
      <c r="F90" s="162">
        <f t="shared" si="3"/>
        <v>-10800</v>
      </c>
      <c r="G90" s="162">
        <f t="shared" si="3"/>
        <v>35.10820800000002</v>
      </c>
      <c r="H90" s="162">
        <f t="shared" si="3"/>
        <v>35.810372160000014</v>
      </c>
      <c r="I90" s="162">
        <f t="shared" si="3"/>
        <v>36.52657960320002</v>
      </c>
      <c r="J90" s="162">
        <f t="shared" si="3"/>
        <v>37.257111195264</v>
      </c>
      <c r="K90" s="164">
        <f t="shared" si="3"/>
        <v>38.00225341916931</v>
      </c>
      <c r="L90" s="54"/>
    </row>
    <row r="91" spans="2:12" ht="15.75" thickBot="1">
      <c r="B91" s="52"/>
      <c r="C91" s="169"/>
      <c r="D91" s="536" t="str">
        <f>D77</f>
        <v>Cash Flows from Productivity</v>
      </c>
      <c r="E91" s="537"/>
      <c r="F91" s="165">
        <f t="shared" si="3"/>
        <v>0</v>
      </c>
      <c r="G91" s="165">
        <f>F91</f>
        <v>0</v>
      </c>
      <c r="H91" s="165">
        <f>G91</f>
        <v>0</v>
      </c>
      <c r="I91" s="165">
        <f>H91</f>
        <v>0</v>
      </c>
      <c r="J91" s="165">
        <f>I91</f>
        <v>0</v>
      </c>
      <c r="K91" s="166">
        <f>J91</f>
        <v>0</v>
      </c>
      <c r="L91" s="54"/>
    </row>
    <row r="92" spans="2:12" ht="15.75" thickTop="1">
      <c r="B92" s="52"/>
      <c r="C92" s="169"/>
      <c r="D92" s="538" t="str">
        <f t="shared" si="2"/>
        <v>Total annual net cash flow</v>
      </c>
      <c r="E92" s="539"/>
      <c r="F92" s="167">
        <f aca="true" t="shared" si="4" ref="F92:K92">SUM(F90:F91)</f>
        <v>-10800</v>
      </c>
      <c r="G92" s="167">
        <f t="shared" si="4"/>
        <v>35.10820800000002</v>
      </c>
      <c r="H92" s="167">
        <f t="shared" si="4"/>
        <v>35.810372160000014</v>
      </c>
      <c r="I92" s="167">
        <f t="shared" si="4"/>
        <v>36.52657960320002</v>
      </c>
      <c r="J92" s="167">
        <f t="shared" si="4"/>
        <v>37.257111195264</v>
      </c>
      <c r="K92" s="168">
        <f t="shared" si="4"/>
        <v>38.00225341916931</v>
      </c>
      <c r="L92" s="54"/>
    </row>
    <row r="93" spans="2:12" ht="15">
      <c r="B93" s="52"/>
      <c r="C93" s="169"/>
      <c r="D93" s="540" t="str">
        <f t="shared" si="2"/>
        <v>Cumulative net cash flow</v>
      </c>
      <c r="E93" s="541"/>
      <c r="F93" s="170">
        <f>F92</f>
        <v>-10800</v>
      </c>
      <c r="G93" s="170">
        <f>F93+G92</f>
        <v>-10764.891792</v>
      </c>
      <c r="H93" s="171">
        <f>G93+H92</f>
        <v>-10729.08141984</v>
      </c>
      <c r="I93" s="170">
        <f>H93+I92</f>
        <v>-10692.5548402368</v>
      </c>
      <c r="J93" s="170">
        <f>I93+J92</f>
        <v>-10655.297729041537</v>
      </c>
      <c r="K93" s="172">
        <f>J93+K92</f>
        <v>-10617.295475622368</v>
      </c>
      <c r="L93" s="54"/>
    </row>
    <row r="94" spans="2:12" ht="15">
      <c r="B94" s="52"/>
      <c r="C94" s="36" t="s">
        <v>318</v>
      </c>
      <c r="D94" s="371" t="str">
        <f>D80</f>
        <v>Risk-free rate of return (RFR)</v>
      </c>
      <c r="E94" s="372"/>
      <c r="F94" s="173">
        <f aca="true" t="shared" si="5" ref="F94:K94">F80</f>
        <v>0</v>
      </c>
      <c r="G94" s="173">
        <f t="shared" si="5"/>
        <v>0.013</v>
      </c>
      <c r="H94" s="173">
        <f t="shared" si="5"/>
        <v>0.0169</v>
      </c>
      <c r="I94" s="173">
        <f t="shared" si="5"/>
        <v>0.0207</v>
      </c>
      <c r="J94" s="173">
        <f t="shared" si="5"/>
        <v>0.0235</v>
      </c>
      <c r="K94" s="174">
        <f t="shared" si="5"/>
        <v>0.0262</v>
      </c>
      <c r="L94" s="54"/>
    </row>
    <row r="95" spans="2:12" ht="15">
      <c r="B95" s="52"/>
      <c r="C95" s="36" t="s">
        <v>318</v>
      </c>
      <c r="D95" s="175" t="str">
        <f>D81</f>
        <v>Discounted annual net cash flow</v>
      </c>
      <c r="E95" s="176"/>
      <c r="F95" s="162">
        <f>F92/(1+F94)</f>
        <v>-10800</v>
      </c>
      <c r="G95" s="162">
        <f>G92/((1+G94)*(1+F94))</f>
        <v>34.65765844027643</v>
      </c>
      <c r="H95" s="163">
        <f>H92/((1+H94)*(1+G94)*(1+F94))</f>
        <v>34.763311642326634</v>
      </c>
      <c r="I95" s="162">
        <f>I92/((1+I94)*(1+H94)*(1+G94)*(1+F94))</f>
        <v>34.73947082901262</v>
      </c>
      <c r="J95" s="162">
        <f>J92/((1+J94)*(1+I94)*(1+H94)*(1+G94)*(1+F94))</f>
        <v>34.620674397257304</v>
      </c>
      <c r="K95" s="164">
        <f>K92/((1+K94)*(1+J94)*(1+I94)*(1+H94)*(1+G94)*(1+F94))</f>
        <v>34.41150641707511</v>
      </c>
      <c r="L95" s="54"/>
    </row>
    <row r="96" spans="2:12" ht="15.75" thickBot="1">
      <c r="B96" s="52"/>
      <c r="C96" s="169"/>
      <c r="D96" s="392" t="str">
        <f>D82</f>
        <v>Discounted cumulative net cash flow</v>
      </c>
      <c r="E96" s="393"/>
      <c r="F96" s="231">
        <f>F95</f>
        <v>-10800</v>
      </c>
      <c r="G96" s="231">
        <f>F96+G95</f>
        <v>-10765.342341559724</v>
      </c>
      <c r="H96" s="231">
        <f>G96+H95</f>
        <v>-10730.579029917399</v>
      </c>
      <c r="I96" s="231">
        <f>H96+I95</f>
        <v>-10695.839559088387</v>
      </c>
      <c r="J96" s="231">
        <f>I96+J95</f>
        <v>-10661.218884691129</v>
      </c>
      <c r="K96" s="232">
        <f>J96+K95</f>
        <v>-10626.807378274054</v>
      </c>
      <c r="L96" s="54"/>
    </row>
    <row r="97" spans="2:12" ht="15.75" thickBot="1">
      <c r="B97" s="52"/>
      <c r="C97" s="169"/>
      <c r="D97" s="528"/>
      <c r="E97" s="355"/>
      <c r="F97" s="355"/>
      <c r="G97" s="355"/>
      <c r="H97" s="355"/>
      <c r="I97" s="355"/>
      <c r="J97" s="355"/>
      <c r="K97" s="529"/>
      <c r="L97" s="54"/>
    </row>
    <row r="98" spans="2:12" ht="15">
      <c r="B98" s="52"/>
      <c r="C98" s="169"/>
      <c r="D98" s="526"/>
      <c r="E98" s="527"/>
      <c r="F98" s="344" t="s">
        <v>329</v>
      </c>
      <c r="G98" s="341" t="s">
        <v>328</v>
      </c>
      <c r="H98" s="533"/>
      <c r="I98" s="534"/>
      <c r="J98" s="534"/>
      <c r="K98" s="535"/>
      <c r="L98" s="54"/>
    </row>
    <row r="99" spans="2:12" ht="15.75" thickBot="1">
      <c r="B99" s="52"/>
      <c r="C99" s="169"/>
      <c r="D99" s="524"/>
      <c r="E99" s="525"/>
      <c r="F99" s="522"/>
      <c r="G99" s="523"/>
      <c r="H99" s="533"/>
      <c r="I99" s="534"/>
      <c r="J99" s="534"/>
      <c r="K99" s="535"/>
      <c r="L99" s="54"/>
    </row>
    <row r="100" spans="2:12" ht="15">
      <c r="B100" s="52"/>
      <c r="C100" s="169"/>
      <c r="D100" s="351" t="s">
        <v>309</v>
      </c>
      <c r="E100" s="513"/>
      <c r="F100" s="230">
        <f>K82</f>
        <v>32066.947027433336</v>
      </c>
      <c r="G100" s="233">
        <f>K96</f>
        <v>-10626.807378274054</v>
      </c>
      <c r="H100" s="533"/>
      <c r="I100" s="534"/>
      <c r="J100" s="534"/>
      <c r="K100" s="535"/>
      <c r="L100" s="54"/>
    </row>
    <row r="101" spans="2:12" ht="15">
      <c r="B101" s="52"/>
      <c r="C101" s="169"/>
      <c r="D101" s="354" t="s">
        <v>247</v>
      </c>
      <c r="E101" s="227" t="s">
        <v>248</v>
      </c>
      <c r="F101" s="228">
        <f>IRR(F78:I78,0.1)</f>
        <v>0.6505820965915794</v>
      </c>
      <c r="G101" s="234">
        <f>IRR(F92:I92,-0.1)</f>
        <v>-0.8413954429855633</v>
      </c>
      <c r="H101" s="533"/>
      <c r="I101" s="534"/>
      <c r="J101" s="534"/>
      <c r="K101" s="535"/>
      <c r="L101" s="54"/>
    </row>
    <row r="102" spans="2:12" ht="15">
      <c r="B102" s="52"/>
      <c r="C102" s="169"/>
      <c r="D102" s="354"/>
      <c r="E102" s="227" t="s">
        <v>249</v>
      </c>
      <c r="F102" s="228">
        <f>IRR(F78:K78,0.1)</f>
        <v>0.7912834276003071</v>
      </c>
      <c r="G102" s="234">
        <f>IRR(F92:K92,-0.1)</f>
        <v>-0.6488341056968949</v>
      </c>
      <c r="H102" s="533"/>
      <c r="I102" s="534"/>
      <c r="J102" s="534"/>
      <c r="K102" s="535"/>
      <c r="L102" s="54"/>
    </row>
    <row r="103" spans="2:12" ht="15.75" thickBot="1">
      <c r="B103" s="52"/>
      <c r="C103" s="169"/>
      <c r="D103" s="346" t="s">
        <v>310</v>
      </c>
      <c r="E103" s="514"/>
      <c r="F103" s="229">
        <f>ABS(F79/G78)</f>
        <v>1.195337095181362</v>
      </c>
      <c r="G103" s="235">
        <f>ABS(F92/G92)</f>
        <v>307.62037185150535</v>
      </c>
      <c r="H103" s="533"/>
      <c r="I103" s="534"/>
      <c r="J103" s="534"/>
      <c r="K103" s="535"/>
      <c r="L103" s="54"/>
    </row>
    <row r="104" spans="2:12" ht="15.75" thickBot="1">
      <c r="B104" s="52"/>
      <c r="C104" s="169"/>
      <c r="D104" s="530"/>
      <c r="E104" s="531"/>
      <c r="F104" s="531"/>
      <c r="G104" s="531"/>
      <c r="H104" s="531"/>
      <c r="I104" s="531"/>
      <c r="J104" s="531"/>
      <c r="K104" s="532"/>
      <c r="L104" s="54"/>
    </row>
    <row r="105" spans="2:12" ht="15.75" thickBot="1">
      <c r="B105" s="52"/>
      <c r="C105" s="169"/>
      <c r="D105" s="549" t="s">
        <v>246</v>
      </c>
      <c r="E105" s="550"/>
      <c r="F105" s="550"/>
      <c r="G105" s="550"/>
      <c r="H105" s="550"/>
      <c r="I105" s="550"/>
      <c r="J105" s="550"/>
      <c r="K105" s="551"/>
      <c r="L105" s="54"/>
    </row>
    <row r="106" spans="2:12" ht="15">
      <c r="B106" s="52"/>
      <c r="C106" s="169"/>
      <c r="D106" s="545" t="s">
        <v>313</v>
      </c>
      <c r="E106" s="544"/>
      <c r="F106" s="177">
        <v>0</v>
      </c>
      <c r="G106" s="177">
        <f>carbon_emission_constant*'5.Projected Savings'!G20*'5.Projected Savings'!G7</f>
        <v>561.5999999999999</v>
      </c>
      <c r="H106" s="177">
        <f>G106</f>
        <v>561.5999999999999</v>
      </c>
      <c r="I106" s="177">
        <f>H106</f>
        <v>561.5999999999999</v>
      </c>
      <c r="J106" s="177">
        <f>I106</f>
        <v>561.5999999999999</v>
      </c>
      <c r="K106" s="178">
        <f>J106</f>
        <v>561.5999999999999</v>
      </c>
      <c r="L106" s="54"/>
    </row>
    <row r="107" spans="2:12" ht="15">
      <c r="B107" s="52"/>
      <c r="C107" s="169"/>
      <c r="D107" s="558" t="str">
        <f>TEXT("Annual savings from replacing the number of computers specified, (","text")&amp;'3.Inputs'!J23&amp;TEXT(" total)","text")</f>
        <v>Annual savings from replacing the number of computers specified, (6 total)</v>
      </c>
      <c r="E107" s="559"/>
      <c r="F107" s="179">
        <v>0</v>
      </c>
      <c r="G107" s="180">
        <f>carbon_emission_constant*('5.Projected Savings'!$G$20*('5.Projected Savings'!$G$7-'5.Projected Savings'!$G$8)+('5.Projected Savings'!$G$27*'5.Projected Savings'!$G$8))</f>
        <v>435.59999999999997</v>
      </c>
      <c r="H107" s="180">
        <f>carbon_emission_constant*('5.Projected Savings'!$G$20*('5.Projected Savings'!$G$7-'5.Projected Savings'!$G$8)+('5.Projected Savings'!$G$27*'5.Projected Savings'!$G$8))</f>
        <v>435.59999999999997</v>
      </c>
      <c r="I107" s="180">
        <f>carbon_emission_constant*('5.Projected Savings'!$G$20*('5.Projected Savings'!$G$7-'5.Projected Savings'!$G$8)+('5.Projected Savings'!$G$27*'5.Projected Savings'!$G$8))</f>
        <v>435.59999999999997</v>
      </c>
      <c r="J107" s="180">
        <f>carbon_emission_constant*('5.Projected Savings'!$G$20*('5.Projected Savings'!$G$7-'5.Projected Savings'!$G$8)+('5.Projected Savings'!$G$27*'5.Projected Savings'!$G$8))</f>
        <v>435.59999999999997</v>
      </c>
      <c r="K107" s="181">
        <f>carbon_emission_constant*('5.Projected Savings'!$G$20*('5.Projected Savings'!$G$7-'5.Projected Savings'!$G$8)+('5.Projected Savings'!$G$27*'5.Projected Savings'!$G$8))</f>
        <v>435.59999999999997</v>
      </c>
      <c r="L107" s="54"/>
    </row>
    <row r="108" spans="2:12" ht="15.75" thickBot="1">
      <c r="B108" s="52"/>
      <c r="C108" s="169"/>
      <c r="D108" s="554" t="str">
        <f>TEXT("Cumulative savings from replacing the number of computers specified, (","text")&amp;'3.Inputs'!J23&amp;TEXT(" total)","text")</f>
        <v>Cumulative savings from replacing the number of computers specified, (6 total)</v>
      </c>
      <c r="E108" s="555"/>
      <c r="F108" s="182">
        <f>F107</f>
        <v>0</v>
      </c>
      <c r="G108" s="182">
        <f>F108+G107</f>
        <v>435.59999999999997</v>
      </c>
      <c r="H108" s="182">
        <f>G108+H107</f>
        <v>871.1999999999999</v>
      </c>
      <c r="I108" s="182">
        <f>H108+I107</f>
        <v>1306.8</v>
      </c>
      <c r="J108" s="182">
        <f>I108+J107</f>
        <v>1742.3999999999999</v>
      </c>
      <c r="K108" s="183">
        <f>J108+K107</f>
        <v>2178</v>
      </c>
      <c r="L108" s="54"/>
    </row>
    <row r="109" spans="2:12" ht="15.75" thickBot="1">
      <c r="B109" s="52"/>
      <c r="C109" s="169"/>
      <c r="D109" s="549" t="s">
        <v>250</v>
      </c>
      <c r="E109" s="550"/>
      <c r="F109" s="550"/>
      <c r="G109" s="550"/>
      <c r="H109" s="550"/>
      <c r="I109" s="550"/>
      <c r="J109" s="550"/>
      <c r="K109" s="551"/>
      <c r="L109" s="54"/>
    </row>
    <row r="110" spans="2:12" ht="15">
      <c r="B110" s="52"/>
      <c r="C110" s="169"/>
      <c r="D110" s="545" t="s">
        <v>311</v>
      </c>
      <c r="E110" s="544"/>
      <c r="F110" s="177">
        <v>0</v>
      </c>
      <c r="G110" s="184">
        <f>SO2_emissions_constant*'5.Projected Savings'!G7*'5.Projected Savings'!G20</f>
        <v>11.232000000000001</v>
      </c>
      <c r="H110" s="184">
        <f aca="true" t="shared" si="6" ref="H110:K111">G110</f>
        <v>11.232000000000001</v>
      </c>
      <c r="I110" s="184">
        <f t="shared" si="6"/>
        <v>11.232000000000001</v>
      </c>
      <c r="J110" s="184">
        <f t="shared" si="6"/>
        <v>11.232000000000001</v>
      </c>
      <c r="K110" s="185">
        <f t="shared" si="6"/>
        <v>11.232000000000001</v>
      </c>
      <c r="L110" s="54"/>
    </row>
    <row r="111" spans="2:12" ht="15">
      <c r="B111" s="52"/>
      <c r="C111" s="169"/>
      <c r="D111" s="558" t="str">
        <f>D107</f>
        <v>Annual savings from replacing the number of computers specified, (6 total)</v>
      </c>
      <c r="E111" s="559"/>
      <c r="F111" s="186">
        <v>0</v>
      </c>
      <c r="G111" s="187">
        <f>SO2_emissions_constant*(('5.Projected Savings'!G20*('5.Projected Savings'!G7-'5.Projected Savings'!G8)+'5.Projected Savings'!G27*'5.Projected Savings'!G8))</f>
        <v>8.712</v>
      </c>
      <c r="H111" s="187">
        <f t="shared" si="6"/>
        <v>8.712</v>
      </c>
      <c r="I111" s="187">
        <f t="shared" si="6"/>
        <v>8.712</v>
      </c>
      <c r="J111" s="187">
        <f t="shared" si="6"/>
        <v>8.712</v>
      </c>
      <c r="K111" s="188">
        <f t="shared" si="6"/>
        <v>8.712</v>
      </c>
      <c r="L111" s="54"/>
    </row>
    <row r="112" spans="2:12" ht="15.75" thickBot="1">
      <c r="B112" s="52"/>
      <c r="C112" s="169"/>
      <c r="D112" s="554" t="str">
        <f>D108</f>
        <v>Cumulative savings from replacing the number of computers specified, (6 total)</v>
      </c>
      <c r="E112" s="555"/>
      <c r="F112" s="139">
        <f>F111</f>
        <v>0</v>
      </c>
      <c r="G112" s="189">
        <f>F112+G111</f>
        <v>8.712</v>
      </c>
      <c r="H112" s="189">
        <f>G112+H111</f>
        <v>17.424</v>
      </c>
      <c r="I112" s="189">
        <f>H112+I111</f>
        <v>26.136</v>
      </c>
      <c r="J112" s="189">
        <f>I112+J111</f>
        <v>34.848</v>
      </c>
      <c r="K112" s="190">
        <f>J112+K111</f>
        <v>43.56</v>
      </c>
      <c r="L112" s="54"/>
    </row>
    <row r="113" spans="2:12" ht="15.75" thickBot="1">
      <c r="B113" s="52"/>
      <c r="C113" s="169"/>
      <c r="D113" s="549" t="s">
        <v>251</v>
      </c>
      <c r="E113" s="550"/>
      <c r="F113" s="550"/>
      <c r="G113" s="550"/>
      <c r="H113" s="550"/>
      <c r="I113" s="550"/>
      <c r="J113" s="550"/>
      <c r="K113" s="551"/>
      <c r="L113" s="54"/>
    </row>
    <row r="114" spans="2:12" ht="15">
      <c r="B114" s="52"/>
      <c r="C114" s="191"/>
      <c r="D114" s="543" t="s">
        <v>312</v>
      </c>
      <c r="E114" s="544"/>
      <c r="F114" s="177">
        <v>0</v>
      </c>
      <c r="G114" s="184">
        <f>NOx_emission_constant*'5.Projected Savings'!G7*'5.Projected Savings'!G20</f>
        <v>5.054399999999999</v>
      </c>
      <c r="H114" s="192">
        <f aca="true" t="shared" si="7" ref="H114:K115">G114</f>
        <v>5.054399999999999</v>
      </c>
      <c r="I114" s="192">
        <f t="shared" si="7"/>
        <v>5.054399999999999</v>
      </c>
      <c r="J114" s="192">
        <f t="shared" si="7"/>
        <v>5.054399999999999</v>
      </c>
      <c r="K114" s="193">
        <f t="shared" si="7"/>
        <v>5.054399999999999</v>
      </c>
      <c r="L114" s="54"/>
    </row>
    <row r="115" spans="2:12" ht="15">
      <c r="B115" s="52"/>
      <c r="C115" s="169"/>
      <c r="D115" s="552" t="str">
        <f>D111</f>
        <v>Annual savings from replacing the number of computers specified, (6 total)</v>
      </c>
      <c r="E115" s="553"/>
      <c r="F115" s="136">
        <v>0</v>
      </c>
      <c r="G115" s="194">
        <f>NOx_emission_constant*('5.Projected Savings'!G20*('5.Projected Savings'!G7-'5.Projected Savings'!G8)+'5.Projected Savings'!G27*'5.Projected Savings'!G8)</f>
        <v>3.9204000000000003</v>
      </c>
      <c r="H115" s="194">
        <f t="shared" si="7"/>
        <v>3.9204000000000003</v>
      </c>
      <c r="I115" s="194">
        <f t="shared" si="7"/>
        <v>3.9204000000000003</v>
      </c>
      <c r="J115" s="194">
        <f t="shared" si="7"/>
        <v>3.9204000000000003</v>
      </c>
      <c r="K115" s="195">
        <f t="shared" si="7"/>
        <v>3.9204000000000003</v>
      </c>
      <c r="L115" s="54"/>
    </row>
    <row r="116" spans="2:12" ht="15.75" thickBot="1">
      <c r="B116" s="52"/>
      <c r="C116" s="196"/>
      <c r="D116" s="392" t="str">
        <f>D112</f>
        <v>Cumulative savings from replacing the number of computers specified, (6 total)</v>
      </c>
      <c r="E116" s="393"/>
      <c r="F116" s="197">
        <f>F115</f>
        <v>0</v>
      </c>
      <c r="G116" s="198">
        <f>F116+G115</f>
        <v>3.9204000000000003</v>
      </c>
      <c r="H116" s="198">
        <f>G116+H115</f>
        <v>7.840800000000001</v>
      </c>
      <c r="I116" s="198">
        <f>H116+I115</f>
        <v>11.7612</v>
      </c>
      <c r="J116" s="198">
        <f>I116+J115</f>
        <v>15.681600000000001</v>
      </c>
      <c r="K116" s="199">
        <f>J116+K115</f>
        <v>19.602</v>
      </c>
      <c r="L116" s="54"/>
    </row>
    <row r="117" spans="2:12" ht="15.75" thickBot="1">
      <c r="B117" s="52"/>
      <c r="C117" s="55"/>
      <c r="D117" s="55"/>
      <c r="E117" s="57"/>
      <c r="F117" s="56"/>
      <c r="G117" s="56"/>
      <c r="H117" s="57"/>
      <c r="I117" s="56"/>
      <c r="J117" s="56"/>
      <c r="K117" s="56"/>
      <c r="L117" s="54"/>
    </row>
    <row r="118" spans="2:12" ht="15.75" thickBot="1">
      <c r="B118" s="52"/>
      <c r="C118" s="476" t="s">
        <v>48</v>
      </c>
      <c r="D118" s="477"/>
      <c r="E118" s="477"/>
      <c r="F118" s="477"/>
      <c r="G118" s="477"/>
      <c r="H118" s="477"/>
      <c r="I118" s="477"/>
      <c r="J118" s="477"/>
      <c r="K118" s="478"/>
      <c r="L118" s="54"/>
    </row>
    <row r="119" spans="2:12" ht="15.75" thickBot="1">
      <c r="B119" s="52"/>
      <c r="C119" s="55"/>
      <c r="D119" s="355"/>
      <c r="E119" s="355"/>
      <c r="F119" s="355"/>
      <c r="G119" s="56"/>
      <c r="H119" s="57"/>
      <c r="I119" s="56"/>
      <c r="J119" s="56"/>
      <c r="K119" s="56"/>
      <c r="L119" s="54"/>
    </row>
    <row r="120" spans="2:12" ht="15.75" thickBot="1">
      <c r="B120" s="52"/>
      <c r="C120" s="476" t="s">
        <v>116</v>
      </c>
      <c r="D120" s="477"/>
      <c r="E120" s="477"/>
      <c r="F120" s="477"/>
      <c r="G120" s="477"/>
      <c r="H120" s="477"/>
      <c r="I120" s="477"/>
      <c r="J120" s="477"/>
      <c r="K120" s="478"/>
      <c r="L120" s="54"/>
    </row>
    <row r="121" spans="2:12" ht="15.75" thickBot="1">
      <c r="B121" s="77"/>
      <c r="C121" s="78"/>
      <c r="D121" s="563"/>
      <c r="E121" s="563"/>
      <c r="F121" s="563"/>
      <c r="G121" s="79"/>
      <c r="H121" s="80"/>
      <c r="I121" s="79"/>
      <c r="J121" s="79"/>
      <c r="K121" s="79"/>
      <c r="L121" s="81"/>
    </row>
    <row r="122" spans="3:11" ht="15">
      <c r="C122" s="201"/>
      <c r="D122" s="201"/>
      <c r="E122" s="83"/>
      <c r="F122" s="82"/>
      <c r="G122" s="82"/>
      <c r="H122" s="83"/>
      <c r="I122" s="82"/>
      <c r="J122" s="82"/>
      <c r="K122" s="82"/>
    </row>
    <row r="123" spans="3:11" ht="15">
      <c r="C123" s="201"/>
      <c r="D123" s="564"/>
      <c r="E123" s="564"/>
      <c r="F123" s="564"/>
      <c r="G123" s="82"/>
      <c r="H123" s="83"/>
      <c r="I123" s="82"/>
      <c r="J123" s="82"/>
      <c r="K123" s="82"/>
    </row>
  </sheetData>
  <sheetProtection password="E7B2" sheet="1" insertHyperlinks="0" selectLockedCells="1"/>
  <mergeCells count="70">
    <mergeCell ref="C17:H17"/>
    <mergeCell ref="D111:E111"/>
    <mergeCell ref="C61:H61"/>
    <mergeCell ref="C55:H55"/>
    <mergeCell ref="C49:H49"/>
    <mergeCell ref="D106:E106"/>
    <mergeCell ref="D71:E71"/>
    <mergeCell ref="D78:E78"/>
    <mergeCell ref="D89:E89"/>
    <mergeCell ref="D90:E90"/>
    <mergeCell ref="D121:F121"/>
    <mergeCell ref="D123:F123"/>
    <mergeCell ref="D119:F119"/>
    <mergeCell ref="C35:H35"/>
    <mergeCell ref="D116:E116"/>
    <mergeCell ref="D72:E72"/>
    <mergeCell ref="C43:H43"/>
    <mergeCell ref="D109:K109"/>
    <mergeCell ref="D73:E73"/>
    <mergeCell ref="C118:K118"/>
    <mergeCell ref="I3:J3"/>
    <mergeCell ref="D105:K105"/>
    <mergeCell ref="D107:E107"/>
    <mergeCell ref="D108:E108"/>
    <mergeCell ref="D68:K68"/>
    <mergeCell ref="D101:D102"/>
    <mergeCell ref="C6:H6"/>
    <mergeCell ref="D103:E103"/>
    <mergeCell ref="D5:H5"/>
    <mergeCell ref="C24:H24"/>
    <mergeCell ref="C120:K120"/>
    <mergeCell ref="D75:E75"/>
    <mergeCell ref="D113:K113"/>
    <mergeCell ref="D79:E79"/>
    <mergeCell ref="D115:E115"/>
    <mergeCell ref="D112:E112"/>
    <mergeCell ref="D85:E85"/>
    <mergeCell ref="D86:E86"/>
    <mergeCell ref="D87:E87"/>
    <mergeCell ref="D88:E88"/>
    <mergeCell ref="C3:E3"/>
    <mergeCell ref="F3:H3"/>
    <mergeCell ref="D80:E80"/>
    <mergeCell ref="D82:E82"/>
    <mergeCell ref="D100:E100"/>
    <mergeCell ref="D114:E114"/>
    <mergeCell ref="D110:E110"/>
    <mergeCell ref="D77:E77"/>
    <mergeCell ref="D76:E76"/>
    <mergeCell ref="D74:E74"/>
    <mergeCell ref="D104:K104"/>
    <mergeCell ref="D91:E91"/>
    <mergeCell ref="D92:E92"/>
    <mergeCell ref="D93:E93"/>
    <mergeCell ref="D94:E94"/>
    <mergeCell ref="D96:E96"/>
    <mergeCell ref="H100:K100"/>
    <mergeCell ref="H101:K101"/>
    <mergeCell ref="H102:K102"/>
    <mergeCell ref="H103:K103"/>
    <mergeCell ref="D70:K70"/>
    <mergeCell ref="D84:K84"/>
    <mergeCell ref="F98:F99"/>
    <mergeCell ref="G98:G99"/>
    <mergeCell ref="D99:E99"/>
    <mergeCell ref="D98:E98"/>
    <mergeCell ref="D97:K97"/>
    <mergeCell ref="D83:K83"/>
    <mergeCell ref="H99:K99"/>
    <mergeCell ref="H98:K98"/>
  </mergeCells>
  <hyperlinks>
    <hyperlink ref="C118" location="'Input Page'!A1" display="Click to go back to Input Page"/>
    <hyperlink ref="C120" location="'Assumptions And References'!A1" display="Click here to see the Assumptions/References"/>
    <hyperlink ref="F3" location="'1.Home'!A1" display="Please review disclaimer on the Home tab."/>
    <hyperlink ref="C118:K118" location="'3.Inputs'!A1" display="Click to go back to Input Page"/>
    <hyperlink ref="C120:K120" location="'6.Assumptions &amp; References'!A1" display="Click here to see the Assumptions/References"/>
    <hyperlink ref="C21" location="assump_8" display="Assump8"/>
    <hyperlink ref="C28" location="assump_8" display="Assump8"/>
    <hyperlink ref="C44" location="assump_10" display="Assump10"/>
    <hyperlink ref="C50" location="assump_12" display="Assump12"/>
    <hyperlink ref="C51" location="assump_13" display="Assump13"/>
    <hyperlink ref="C52" location="assump_12" display="Assump12"/>
    <hyperlink ref="C56" location="assump_11" display="Assump11"/>
    <hyperlink ref="C57" location="assump_13" display="Assump13"/>
    <hyperlink ref="C58" location="assump_11" display="Assump11"/>
    <hyperlink ref="C81" location="assump_18" display="Assump18"/>
    <hyperlink ref="C80" location="assump_18" display="Assump18"/>
    <hyperlink ref="C94" location="assump_18" display="Assump18"/>
    <hyperlink ref="C95" location="assump_18" display="Assump18"/>
  </hyperlinks>
  <printOptions gridLines="1"/>
  <pageMargins left="0.7" right="0.7" top="0.75" bottom="0.75" header="0.3" footer="0.3"/>
  <pageSetup horizontalDpi="600" verticalDpi="600" orientation="landscape" paperSize="5" scale="50" r:id="rId1"/>
  <headerFooter>
    <oddHeader>&amp;LECM010a - Energy efficient laptops&amp;R&amp;A</oddHeader>
    <oddFooter>&amp;LLast modified by user: &amp;D&amp;RPage &amp;P of &amp;N</oddFooter>
  </headerFooter>
  <rowBreaks count="1" manualBreakCount="1">
    <brk id="65" min="2" max="10" man="1"/>
  </rowBreaks>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B2:N102"/>
  <sheetViews>
    <sheetView tabSelected="1" zoomScalePageLayoutView="85" workbookViewId="0" topLeftCell="A1">
      <selection activeCell="P91" sqref="P91"/>
    </sheetView>
  </sheetViews>
  <sheetFormatPr defaultColWidth="9.140625" defaultRowHeight="15"/>
  <cols>
    <col min="1" max="2" width="2.8515625" style="85" customWidth="1"/>
    <col min="3" max="3" width="11.140625" style="206" customWidth="1"/>
    <col min="4" max="5" width="11.140625" style="85" customWidth="1"/>
    <col min="6" max="6" width="25.00390625" style="85" customWidth="1"/>
    <col min="7" max="7" width="11.421875" style="85" customWidth="1"/>
    <col min="8" max="8" width="11.7109375" style="85" customWidth="1"/>
    <col min="9" max="9" width="9.140625" style="85" customWidth="1"/>
    <col min="10" max="12" width="11.421875" style="85" customWidth="1"/>
    <col min="13" max="13" width="9.7109375" style="85" bestFit="1" customWidth="1"/>
    <col min="14" max="14" width="2.8515625" style="85" customWidth="1"/>
    <col min="15" max="16384" width="9.140625" style="85" customWidth="1"/>
  </cols>
  <sheetData>
    <row r="1" ht="15.75" thickBot="1"/>
    <row r="2" spans="2:14" ht="15">
      <c r="B2" s="86"/>
      <c r="C2" s="207"/>
      <c r="D2" s="87"/>
      <c r="E2" s="87"/>
      <c r="F2" s="87"/>
      <c r="G2" s="87"/>
      <c r="H2" s="87"/>
      <c r="I2" s="87"/>
      <c r="J2" s="87"/>
      <c r="K2" s="87"/>
      <c r="L2" s="87"/>
      <c r="M2" s="87"/>
      <c r="N2" s="88"/>
    </row>
    <row r="3" spans="2:14" ht="15">
      <c r="B3" s="89"/>
      <c r="C3" s="601" t="s">
        <v>222</v>
      </c>
      <c r="D3" s="602"/>
      <c r="E3" s="602"/>
      <c r="F3" s="337" t="s">
        <v>230</v>
      </c>
      <c r="G3" s="338"/>
      <c r="H3" s="338"/>
      <c r="I3" s="339"/>
      <c r="J3" s="335" t="s">
        <v>207</v>
      </c>
      <c r="K3" s="336"/>
      <c r="L3" s="336"/>
      <c r="M3" s="208">
        <f>'1.Home'!H10</f>
        <v>40703</v>
      </c>
      <c r="N3" s="90"/>
    </row>
    <row r="4" spans="2:14" ht="15.75" thickBot="1">
      <c r="B4" s="89"/>
      <c r="C4" s="209"/>
      <c r="D4" s="91"/>
      <c r="E4" s="91"/>
      <c r="F4" s="91"/>
      <c r="G4" s="91"/>
      <c r="H4" s="91"/>
      <c r="I4" s="91"/>
      <c r="J4" s="91"/>
      <c r="K4" s="91"/>
      <c r="L4" s="91"/>
      <c r="M4" s="91"/>
      <c r="N4" s="90"/>
    </row>
    <row r="5" spans="2:14" ht="24" thickBot="1">
      <c r="B5" s="89"/>
      <c r="C5" s="615" t="s">
        <v>80</v>
      </c>
      <c r="D5" s="616"/>
      <c r="E5" s="616"/>
      <c r="F5" s="616"/>
      <c r="G5" s="616"/>
      <c r="H5" s="616"/>
      <c r="I5" s="616"/>
      <c r="J5" s="616"/>
      <c r="K5" s="616"/>
      <c r="L5" s="616"/>
      <c r="M5" s="617"/>
      <c r="N5" s="90"/>
    </row>
    <row r="6" spans="2:14" ht="15">
      <c r="B6" s="89"/>
      <c r="C6" s="618">
        <v>1</v>
      </c>
      <c r="D6" s="613"/>
      <c r="E6" s="614"/>
      <c r="F6" s="87" t="s">
        <v>232</v>
      </c>
      <c r="G6" s="87"/>
      <c r="H6" s="87"/>
      <c r="I6" s="87"/>
      <c r="J6" s="87"/>
      <c r="K6" s="87"/>
      <c r="L6" s="24"/>
      <c r="M6" s="25"/>
      <c r="N6" s="90"/>
    </row>
    <row r="7" spans="2:14" ht="15">
      <c r="B7" s="89"/>
      <c r="C7" s="580"/>
      <c r="D7" s="605"/>
      <c r="E7" s="606"/>
      <c r="F7" s="565" t="s">
        <v>334</v>
      </c>
      <c r="G7" s="565"/>
      <c r="H7" s="565"/>
      <c r="I7" s="565"/>
      <c r="J7" s="565"/>
      <c r="K7" s="565"/>
      <c r="L7" s="565"/>
      <c r="M7" s="566"/>
      <c r="N7" s="90"/>
    </row>
    <row r="8" spans="2:14" ht="15">
      <c r="B8" s="89"/>
      <c r="C8" s="580"/>
      <c r="D8" s="605"/>
      <c r="E8" s="606"/>
      <c r="F8" s="91" t="s">
        <v>202</v>
      </c>
      <c r="G8" s="91"/>
      <c r="H8" s="91"/>
      <c r="I8" s="91"/>
      <c r="J8" s="91"/>
      <c r="K8" s="91"/>
      <c r="L8" s="91"/>
      <c r="M8" s="90"/>
      <c r="N8" s="90"/>
    </row>
    <row r="9" spans="2:14" ht="15">
      <c r="B9" s="89"/>
      <c r="C9" s="580"/>
      <c r="D9" s="605"/>
      <c r="E9" s="606"/>
      <c r="F9" s="91" t="s">
        <v>82</v>
      </c>
      <c r="G9" s="91"/>
      <c r="H9" s="91"/>
      <c r="I9" s="91"/>
      <c r="J9" s="91"/>
      <c r="K9" s="91"/>
      <c r="L9" s="91"/>
      <c r="M9" s="90"/>
      <c r="N9" s="90"/>
    </row>
    <row r="10" spans="2:14" ht="15">
      <c r="B10" s="89"/>
      <c r="C10" s="580"/>
      <c r="D10" s="605"/>
      <c r="E10" s="606"/>
      <c r="F10" s="565" t="s">
        <v>83</v>
      </c>
      <c r="G10" s="565"/>
      <c r="H10" s="565"/>
      <c r="I10" s="565"/>
      <c r="J10" s="565"/>
      <c r="K10" s="565"/>
      <c r="L10" s="565"/>
      <c r="M10" s="566"/>
      <c r="N10" s="90"/>
    </row>
    <row r="11" spans="2:14" ht="15">
      <c r="B11" s="89"/>
      <c r="C11" s="580"/>
      <c r="D11" s="605"/>
      <c r="E11" s="606"/>
      <c r="F11" s="91" t="s">
        <v>202</v>
      </c>
      <c r="G11" s="91"/>
      <c r="H11" s="91"/>
      <c r="I11" s="91"/>
      <c r="J11" s="91"/>
      <c r="K11" s="91"/>
      <c r="L11" s="91"/>
      <c r="M11" s="90"/>
      <c r="N11" s="90"/>
    </row>
    <row r="12" spans="2:14" ht="15">
      <c r="B12" s="89"/>
      <c r="C12" s="609"/>
      <c r="D12" s="607"/>
      <c r="E12" s="608"/>
      <c r="F12" s="91"/>
      <c r="G12" s="91"/>
      <c r="H12" s="91"/>
      <c r="I12" s="91"/>
      <c r="J12" s="91"/>
      <c r="K12" s="91"/>
      <c r="L12" s="91"/>
      <c r="M12" s="90"/>
      <c r="N12" s="90"/>
    </row>
    <row r="13" spans="2:14" ht="15">
      <c r="B13" s="89"/>
      <c r="C13" s="579">
        <v>2</v>
      </c>
      <c r="D13" s="603"/>
      <c r="E13" s="604"/>
      <c r="F13" s="619" t="s">
        <v>324</v>
      </c>
      <c r="G13" s="619"/>
      <c r="H13" s="619"/>
      <c r="I13" s="619"/>
      <c r="J13" s="619"/>
      <c r="K13" s="619"/>
      <c r="L13" s="619"/>
      <c r="M13" s="620"/>
      <c r="N13" s="90"/>
    </row>
    <row r="14" spans="2:14" ht="15">
      <c r="B14" s="89"/>
      <c r="C14" s="580"/>
      <c r="D14" s="605"/>
      <c r="E14" s="606"/>
      <c r="F14" s="426"/>
      <c r="G14" s="426"/>
      <c r="H14" s="426"/>
      <c r="I14" s="426"/>
      <c r="J14" s="426"/>
      <c r="K14" s="426"/>
      <c r="L14" s="426"/>
      <c r="M14" s="427"/>
      <c r="N14" s="90"/>
    </row>
    <row r="15" spans="2:14" ht="15">
      <c r="B15" s="89"/>
      <c r="C15" s="580"/>
      <c r="D15" s="605"/>
      <c r="E15" s="606"/>
      <c r="F15" s="426" t="s">
        <v>333</v>
      </c>
      <c r="G15" s="426"/>
      <c r="H15" s="426"/>
      <c r="I15" s="426"/>
      <c r="J15" s="426"/>
      <c r="K15" s="426"/>
      <c r="L15" s="426"/>
      <c r="M15" s="427"/>
      <c r="N15" s="90"/>
    </row>
    <row r="16" spans="2:14" ht="15">
      <c r="B16" s="89"/>
      <c r="C16" s="580"/>
      <c r="D16" s="605"/>
      <c r="E16" s="606"/>
      <c r="F16" s="426"/>
      <c r="G16" s="426"/>
      <c r="H16" s="426"/>
      <c r="I16" s="426"/>
      <c r="J16" s="426"/>
      <c r="K16" s="426"/>
      <c r="L16" s="426"/>
      <c r="M16" s="427"/>
      <c r="N16" s="90"/>
    </row>
    <row r="17" spans="2:14" ht="15">
      <c r="B17" s="89"/>
      <c r="C17" s="580"/>
      <c r="D17" s="605"/>
      <c r="E17" s="606"/>
      <c r="F17" s="426"/>
      <c r="G17" s="426"/>
      <c r="H17" s="426"/>
      <c r="I17" s="426"/>
      <c r="J17" s="426"/>
      <c r="K17" s="426"/>
      <c r="L17" s="426"/>
      <c r="M17" s="427"/>
      <c r="N17" s="90"/>
    </row>
    <row r="18" spans="2:14" ht="15">
      <c r="B18" s="89"/>
      <c r="C18" s="580"/>
      <c r="D18" s="605"/>
      <c r="E18" s="606"/>
      <c r="F18" s="426"/>
      <c r="G18" s="426"/>
      <c r="H18" s="426"/>
      <c r="I18" s="426"/>
      <c r="J18" s="426"/>
      <c r="K18" s="426"/>
      <c r="L18" s="426"/>
      <c r="M18" s="427"/>
      <c r="N18" s="90"/>
    </row>
    <row r="19" spans="2:14" ht="16.5" customHeight="1">
      <c r="B19" s="89"/>
      <c r="C19" s="580"/>
      <c r="D19" s="605"/>
      <c r="E19" s="606"/>
      <c r="F19" s="426"/>
      <c r="G19" s="426"/>
      <c r="H19" s="426"/>
      <c r="I19" s="426"/>
      <c r="J19" s="426"/>
      <c r="K19" s="426"/>
      <c r="L19" s="426"/>
      <c r="M19" s="427"/>
      <c r="N19" s="90"/>
    </row>
    <row r="20" spans="2:14" ht="15">
      <c r="B20" s="89"/>
      <c r="C20" s="609"/>
      <c r="D20" s="607"/>
      <c r="E20" s="608"/>
      <c r="F20" s="621"/>
      <c r="G20" s="621"/>
      <c r="H20" s="621"/>
      <c r="I20" s="621"/>
      <c r="J20" s="621"/>
      <c r="K20" s="621"/>
      <c r="L20" s="621"/>
      <c r="M20" s="622"/>
      <c r="N20" s="90"/>
    </row>
    <row r="21" spans="2:14" ht="15">
      <c r="B21" s="89"/>
      <c r="C21" s="579">
        <v>3</v>
      </c>
      <c r="D21" s="603"/>
      <c r="E21" s="604"/>
      <c r="F21" s="210" t="s">
        <v>142</v>
      </c>
      <c r="G21" s="210"/>
      <c r="H21" s="210"/>
      <c r="I21" s="210"/>
      <c r="J21" s="210"/>
      <c r="K21" s="210"/>
      <c r="L21" s="210"/>
      <c r="M21" s="211"/>
      <c r="N21" s="90"/>
    </row>
    <row r="22" spans="2:14" ht="15">
      <c r="B22" s="89"/>
      <c r="C22" s="580"/>
      <c r="D22" s="605"/>
      <c r="E22" s="606"/>
      <c r="F22" s="91" t="s">
        <v>143</v>
      </c>
      <c r="G22" s="91"/>
      <c r="H22" s="91"/>
      <c r="I22" s="91"/>
      <c r="J22" s="91"/>
      <c r="K22" s="91"/>
      <c r="L22" s="91"/>
      <c r="M22" s="90"/>
      <c r="N22" s="90"/>
    </row>
    <row r="23" spans="2:14" ht="15">
      <c r="B23" s="89"/>
      <c r="C23" s="609"/>
      <c r="D23" s="607"/>
      <c r="E23" s="608"/>
      <c r="F23" s="212" t="s">
        <v>203</v>
      </c>
      <c r="G23" s="212"/>
      <c r="H23" s="212"/>
      <c r="I23" s="212"/>
      <c r="J23" s="212"/>
      <c r="K23" s="212"/>
      <c r="L23" s="212"/>
      <c r="M23" s="213"/>
      <c r="N23" s="90"/>
    </row>
    <row r="24" spans="2:14" ht="15">
      <c r="B24" s="89"/>
      <c r="C24" s="579">
        <v>4</v>
      </c>
      <c r="D24" s="603"/>
      <c r="E24" s="604"/>
      <c r="F24" s="210" t="s">
        <v>133</v>
      </c>
      <c r="G24" s="210"/>
      <c r="H24" s="210"/>
      <c r="I24" s="210"/>
      <c r="J24" s="210"/>
      <c r="K24" s="210"/>
      <c r="L24" s="210"/>
      <c r="M24" s="211"/>
      <c r="N24" s="90"/>
    </row>
    <row r="25" spans="2:14" ht="15">
      <c r="B25" s="89"/>
      <c r="C25" s="609"/>
      <c r="D25" s="607"/>
      <c r="E25" s="608"/>
      <c r="F25" s="91" t="s">
        <v>134</v>
      </c>
      <c r="G25" s="91"/>
      <c r="H25" s="91"/>
      <c r="I25" s="91"/>
      <c r="J25" s="91"/>
      <c r="K25" s="91"/>
      <c r="L25" s="91"/>
      <c r="M25" s="90"/>
      <c r="N25" s="90"/>
    </row>
    <row r="26" spans="2:14" ht="15">
      <c r="B26" s="89"/>
      <c r="C26" s="579">
        <v>5</v>
      </c>
      <c r="D26" s="610">
        <v>500</v>
      </c>
      <c r="E26" s="582" t="s">
        <v>0</v>
      </c>
      <c r="F26" s="210" t="s">
        <v>81</v>
      </c>
      <c r="G26" s="210"/>
      <c r="H26" s="210"/>
      <c r="I26" s="210"/>
      <c r="J26" s="210"/>
      <c r="K26" s="210"/>
      <c r="L26" s="210"/>
      <c r="M26" s="211"/>
      <c r="N26" s="90"/>
    </row>
    <row r="27" spans="2:14" ht="15">
      <c r="B27" s="89"/>
      <c r="C27" s="580"/>
      <c r="D27" s="611"/>
      <c r="E27" s="355"/>
      <c r="F27" s="565" t="s">
        <v>114</v>
      </c>
      <c r="G27" s="565"/>
      <c r="H27" s="565"/>
      <c r="I27" s="565"/>
      <c r="J27" s="565"/>
      <c r="K27" s="565"/>
      <c r="L27" s="565"/>
      <c r="M27" s="566"/>
      <c r="N27" s="90"/>
    </row>
    <row r="28" spans="2:14" ht="15">
      <c r="B28" s="89"/>
      <c r="C28" s="580"/>
      <c r="D28" s="611"/>
      <c r="E28" s="355"/>
      <c r="F28" s="91" t="s">
        <v>202</v>
      </c>
      <c r="G28" s="91"/>
      <c r="H28" s="91"/>
      <c r="I28" s="91"/>
      <c r="J28" s="91"/>
      <c r="K28" s="91"/>
      <c r="L28" s="91"/>
      <c r="M28" s="90"/>
      <c r="N28" s="90"/>
    </row>
    <row r="29" spans="2:14" ht="15">
      <c r="B29" s="89"/>
      <c r="C29" s="580"/>
      <c r="D29" s="611"/>
      <c r="E29" s="355"/>
      <c r="F29" s="565" t="s">
        <v>115</v>
      </c>
      <c r="G29" s="565"/>
      <c r="H29" s="565"/>
      <c r="I29" s="565"/>
      <c r="J29" s="565"/>
      <c r="K29" s="565"/>
      <c r="L29" s="565"/>
      <c r="M29" s="566"/>
      <c r="N29" s="90"/>
    </row>
    <row r="30" spans="2:14" ht="15">
      <c r="B30" s="89"/>
      <c r="C30" s="580"/>
      <c r="D30" s="611"/>
      <c r="E30" s="355"/>
      <c r="F30" s="91" t="s">
        <v>202</v>
      </c>
      <c r="G30" s="91"/>
      <c r="H30" s="91"/>
      <c r="I30" s="91"/>
      <c r="J30" s="91"/>
      <c r="K30" s="91"/>
      <c r="L30" s="91"/>
      <c r="M30" s="90"/>
      <c r="N30" s="90"/>
    </row>
    <row r="31" spans="2:14" ht="15">
      <c r="B31" s="89"/>
      <c r="C31" s="609"/>
      <c r="D31" s="612"/>
      <c r="E31" s="586"/>
      <c r="F31" s="212"/>
      <c r="G31" s="212"/>
      <c r="H31" s="212"/>
      <c r="I31" s="212"/>
      <c r="J31" s="212"/>
      <c r="K31" s="212"/>
      <c r="L31" s="212"/>
      <c r="M31" s="213"/>
      <c r="N31" s="90"/>
    </row>
    <row r="32" spans="2:14" ht="15">
      <c r="B32" s="89"/>
      <c r="C32" s="579">
        <v>6</v>
      </c>
      <c r="D32" s="603"/>
      <c r="E32" s="604"/>
      <c r="F32" s="214" t="s">
        <v>113</v>
      </c>
      <c r="G32" s="210"/>
      <c r="H32" s="210"/>
      <c r="I32" s="210"/>
      <c r="J32" s="210"/>
      <c r="K32" s="210"/>
      <c r="L32" s="210"/>
      <c r="M32" s="211"/>
      <c r="N32" s="90"/>
    </row>
    <row r="33" spans="2:14" ht="30">
      <c r="B33" s="89"/>
      <c r="C33" s="580"/>
      <c r="D33" s="605"/>
      <c r="E33" s="606"/>
      <c r="F33" s="215" t="s">
        <v>42</v>
      </c>
      <c r="G33" s="216" t="s">
        <v>111</v>
      </c>
      <c r="H33" s="216" t="s">
        <v>112</v>
      </c>
      <c r="I33" s="91"/>
      <c r="J33" s="91"/>
      <c r="K33" s="91"/>
      <c r="L33" s="91"/>
      <c r="M33" s="90"/>
      <c r="N33" s="90"/>
    </row>
    <row r="34" spans="2:14" ht="15">
      <c r="B34" s="89"/>
      <c r="C34" s="580"/>
      <c r="D34" s="605"/>
      <c r="E34" s="606"/>
      <c r="F34" s="217" t="s">
        <v>40</v>
      </c>
      <c r="G34" s="202">
        <v>702</v>
      </c>
      <c r="H34" s="203">
        <v>10.82</v>
      </c>
      <c r="I34" s="91"/>
      <c r="J34" s="91"/>
      <c r="K34" s="91"/>
      <c r="L34" s="91"/>
      <c r="M34" s="90"/>
      <c r="N34" s="90"/>
    </row>
    <row r="35" spans="2:14" ht="15">
      <c r="B35" s="89"/>
      <c r="C35" s="580"/>
      <c r="D35" s="605"/>
      <c r="E35" s="606"/>
      <c r="F35" s="21" t="s">
        <v>44</v>
      </c>
      <c r="G35" s="218"/>
      <c r="H35" s="219"/>
      <c r="I35" s="91" t="s">
        <v>202</v>
      </c>
      <c r="J35" s="91"/>
      <c r="K35" s="91"/>
      <c r="L35" s="91"/>
      <c r="M35" s="90"/>
      <c r="N35" s="90"/>
    </row>
    <row r="36" spans="2:14" ht="15">
      <c r="B36" s="89"/>
      <c r="C36" s="580"/>
      <c r="D36" s="605"/>
      <c r="E36" s="606"/>
      <c r="F36" s="21" t="s">
        <v>45</v>
      </c>
      <c r="G36" s="218"/>
      <c r="H36" s="219"/>
      <c r="I36" s="91" t="s">
        <v>202</v>
      </c>
      <c r="J36" s="91"/>
      <c r="K36" s="91"/>
      <c r="L36" s="91"/>
      <c r="M36" s="90"/>
      <c r="N36" s="90"/>
    </row>
    <row r="37" spans="2:14" ht="15">
      <c r="B37" s="89"/>
      <c r="C37" s="580"/>
      <c r="D37" s="605"/>
      <c r="E37" s="606"/>
      <c r="F37" s="22" t="s">
        <v>132</v>
      </c>
      <c r="G37" s="202">
        <v>1729</v>
      </c>
      <c r="H37" s="203">
        <v>39</v>
      </c>
      <c r="I37" s="91" t="s">
        <v>197</v>
      </c>
      <c r="J37" s="91"/>
      <c r="K37" s="91"/>
      <c r="L37" s="91"/>
      <c r="M37" s="90"/>
      <c r="N37" s="90"/>
    </row>
    <row r="38" spans="2:14" ht="15">
      <c r="B38" s="89"/>
      <c r="C38" s="580"/>
      <c r="D38" s="605"/>
      <c r="E38" s="606"/>
      <c r="F38" s="21" t="s">
        <v>44</v>
      </c>
      <c r="G38" s="91"/>
      <c r="H38" s="219"/>
      <c r="I38" s="91" t="s">
        <v>202</v>
      </c>
      <c r="J38" s="91"/>
      <c r="K38" s="91"/>
      <c r="L38" s="91"/>
      <c r="M38" s="90"/>
      <c r="N38" s="90"/>
    </row>
    <row r="39" spans="2:14" ht="15">
      <c r="B39" s="89"/>
      <c r="C39" s="580"/>
      <c r="D39" s="605"/>
      <c r="E39" s="606"/>
      <c r="F39" s="21" t="s">
        <v>45</v>
      </c>
      <c r="G39" s="218"/>
      <c r="H39" s="219"/>
      <c r="I39" s="91" t="s">
        <v>202</v>
      </c>
      <c r="J39" s="91"/>
      <c r="K39" s="91"/>
      <c r="L39" s="91"/>
      <c r="M39" s="90"/>
      <c r="N39" s="90"/>
    </row>
    <row r="40" spans="2:14" ht="15">
      <c r="B40" s="89"/>
      <c r="C40" s="580"/>
      <c r="D40" s="605"/>
      <c r="E40" s="606"/>
      <c r="F40" s="217" t="s">
        <v>41</v>
      </c>
      <c r="G40" s="202">
        <v>659</v>
      </c>
      <c r="H40" s="203">
        <v>12.72</v>
      </c>
      <c r="I40" s="91"/>
      <c r="J40" s="91"/>
      <c r="K40" s="91"/>
      <c r="L40" s="91"/>
      <c r="M40" s="90"/>
      <c r="N40" s="90"/>
    </row>
    <row r="41" spans="2:14" ht="15">
      <c r="B41" s="89"/>
      <c r="C41" s="580"/>
      <c r="D41" s="605"/>
      <c r="E41" s="606"/>
      <c r="F41" s="21" t="s">
        <v>44</v>
      </c>
      <c r="G41" s="218"/>
      <c r="H41" s="219"/>
      <c r="I41" s="91" t="s">
        <v>202</v>
      </c>
      <c r="J41" s="91"/>
      <c r="K41" s="91"/>
      <c r="L41" s="91"/>
      <c r="M41" s="90"/>
      <c r="N41" s="90"/>
    </row>
    <row r="42" spans="2:14" ht="15">
      <c r="B42" s="89"/>
      <c r="C42" s="580"/>
      <c r="D42" s="605"/>
      <c r="E42" s="606"/>
      <c r="F42" s="21" t="s">
        <v>45</v>
      </c>
      <c r="G42" s="218"/>
      <c r="H42" s="219"/>
      <c r="I42" s="91" t="s">
        <v>202</v>
      </c>
      <c r="J42" s="91"/>
      <c r="K42" s="91"/>
      <c r="L42" s="91"/>
      <c r="M42" s="90"/>
      <c r="N42" s="90"/>
    </row>
    <row r="43" spans="2:14" ht="15">
      <c r="B43" s="89"/>
      <c r="C43" s="580"/>
      <c r="D43" s="605"/>
      <c r="E43" s="606"/>
      <c r="F43" s="217" t="s">
        <v>43</v>
      </c>
      <c r="G43" s="202">
        <v>100</v>
      </c>
      <c r="H43" s="203"/>
      <c r="I43" s="91"/>
      <c r="J43" s="91"/>
      <c r="K43" s="91"/>
      <c r="L43" s="91"/>
      <c r="M43" s="90"/>
      <c r="N43" s="90"/>
    </row>
    <row r="44" spans="2:14" ht="15">
      <c r="B44" s="89"/>
      <c r="C44" s="609"/>
      <c r="D44" s="607"/>
      <c r="E44" s="608"/>
      <c r="F44" s="21" t="s">
        <v>44</v>
      </c>
      <c r="G44" s="218"/>
      <c r="H44" s="219"/>
      <c r="I44" s="91" t="s">
        <v>202</v>
      </c>
      <c r="J44" s="91"/>
      <c r="K44" s="91"/>
      <c r="L44" s="91"/>
      <c r="M44" s="90"/>
      <c r="N44" s="90"/>
    </row>
    <row r="45" spans="2:14" ht="15">
      <c r="B45" s="89"/>
      <c r="C45" s="579">
        <v>7</v>
      </c>
      <c r="D45" s="91"/>
      <c r="E45" s="220"/>
      <c r="F45" s="623" t="s">
        <v>325</v>
      </c>
      <c r="G45" s="623"/>
      <c r="H45" s="623"/>
      <c r="I45" s="623"/>
      <c r="J45" s="623"/>
      <c r="K45" s="623"/>
      <c r="L45" s="623"/>
      <c r="M45" s="624"/>
      <c r="N45" s="90"/>
    </row>
    <row r="46" spans="2:14" ht="15">
      <c r="B46" s="89"/>
      <c r="C46" s="580"/>
      <c r="D46" s="221"/>
      <c r="E46" s="56"/>
      <c r="F46" s="625"/>
      <c r="G46" s="625"/>
      <c r="H46" s="625"/>
      <c r="I46" s="625"/>
      <c r="J46" s="625"/>
      <c r="K46" s="625"/>
      <c r="L46" s="625"/>
      <c r="M46" s="626"/>
      <c r="N46" s="90"/>
    </row>
    <row r="47" spans="2:14" ht="15">
      <c r="B47" s="89"/>
      <c r="C47" s="580"/>
      <c r="D47" s="598" t="s">
        <v>131</v>
      </c>
      <c r="E47" s="355"/>
      <c r="F47" s="625"/>
      <c r="G47" s="625"/>
      <c r="H47" s="625"/>
      <c r="I47" s="625"/>
      <c r="J47" s="625"/>
      <c r="K47" s="625"/>
      <c r="L47" s="625"/>
      <c r="M47" s="626"/>
      <c r="N47" s="90"/>
    </row>
    <row r="48" spans="2:14" ht="15">
      <c r="B48" s="89"/>
      <c r="C48" s="580"/>
      <c r="D48" s="204">
        <v>70</v>
      </c>
      <c r="E48" s="91" t="s">
        <v>129</v>
      </c>
      <c r="F48" s="91" t="s">
        <v>187</v>
      </c>
      <c r="G48" s="91"/>
      <c r="H48" s="91"/>
      <c r="I48" s="91"/>
      <c r="J48" s="91"/>
      <c r="K48" s="91"/>
      <c r="L48" s="91"/>
      <c r="M48" s="90"/>
      <c r="N48" s="90"/>
    </row>
    <row r="49" spans="2:14" ht="15">
      <c r="B49" s="89"/>
      <c r="C49" s="580"/>
      <c r="D49" s="204">
        <v>4</v>
      </c>
      <c r="E49" s="91" t="s">
        <v>130</v>
      </c>
      <c r="F49" s="20" t="s">
        <v>124</v>
      </c>
      <c r="G49" s="91"/>
      <c r="H49" s="91"/>
      <c r="I49" s="91"/>
      <c r="J49" s="91"/>
      <c r="K49" s="91" t="s">
        <v>127</v>
      </c>
      <c r="L49" s="91"/>
      <c r="M49" s="90"/>
      <c r="N49" s="90"/>
    </row>
    <row r="50" spans="2:14" ht="15">
      <c r="B50" s="89"/>
      <c r="C50" s="580"/>
      <c r="D50" s="91"/>
      <c r="E50" s="91"/>
      <c r="F50" s="23" t="s">
        <v>200</v>
      </c>
      <c r="G50" s="91"/>
      <c r="H50" s="91"/>
      <c r="I50" s="91"/>
      <c r="J50" s="91"/>
      <c r="K50" s="91"/>
      <c r="L50" s="91"/>
      <c r="M50" s="90"/>
      <c r="N50" s="90"/>
    </row>
    <row r="51" spans="2:14" ht="15">
      <c r="B51" s="89"/>
      <c r="C51" s="580"/>
      <c r="D51" s="91"/>
      <c r="E51" s="91"/>
      <c r="F51" s="20" t="s">
        <v>125</v>
      </c>
      <c r="G51" s="91"/>
      <c r="H51" s="91"/>
      <c r="I51" s="91"/>
      <c r="J51" s="91"/>
      <c r="K51" s="91" t="s">
        <v>126</v>
      </c>
      <c r="L51" s="91"/>
      <c r="M51" s="90"/>
      <c r="N51" s="90"/>
    </row>
    <row r="52" spans="2:14" ht="15">
      <c r="B52" s="89"/>
      <c r="C52" s="580"/>
      <c r="D52" s="91"/>
      <c r="E52" s="91"/>
      <c r="F52" s="91" t="s">
        <v>202</v>
      </c>
      <c r="G52" s="91"/>
      <c r="H52" s="91"/>
      <c r="I52" s="91"/>
      <c r="J52" s="91"/>
      <c r="K52" s="91"/>
      <c r="L52" s="91"/>
      <c r="M52" s="90"/>
      <c r="N52" s="90"/>
    </row>
    <row r="53" spans="2:14" ht="15">
      <c r="B53" s="89"/>
      <c r="C53" s="580"/>
      <c r="D53" s="605" t="s">
        <v>128</v>
      </c>
      <c r="E53" s="606"/>
      <c r="F53" s="91" t="s">
        <v>188</v>
      </c>
      <c r="G53" s="91"/>
      <c r="H53" s="91"/>
      <c r="I53" s="91"/>
      <c r="J53" s="91"/>
      <c r="K53" s="91"/>
      <c r="L53" s="91"/>
      <c r="M53" s="90"/>
      <c r="N53" s="90"/>
    </row>
    <row r="54" spans="2:14" ht="15">
      <c r="B54" s="89"/>
      <c r="C54" s="580"/>
      <c r="D54" s="204">
        <v>40</v>
      </c>
      <c r="E54" s="91" t="s">
        <v>129</v>
      </c>
      <c r="F54" s="20" t="s">
        <v>189</v>
      </c>
      <c r="G54" s="91"/>
      <c r="H54" s="91"/>
      <c r="I54" s="91"/>
      <c r="J54" s="91"/>
      <c r="K54" s="91" t="s">
        <v>190</v>
      </c>
      <c r="L54" s="91"/>
      <c r="M54" s="90"/>
      <c r="N54" s="90"/>
    </row>
    <row r="55" spans="2:14" ht="15">
      <c r="B55" s="89"/>
      <c r="C55" s="580"/>
      <c r="D55" s="204">
        <v>1.5</v>
      </c>
      <c r="E55" s="91" t="s">
        <v>130</v>
      </c>
      <c r="F55" s="23" t="s">
        <v>201</v>
      </c>
      <c r="G55" s="91"/>
      <c r="H55" s="91"/>
      <c r="I55" s="91"/>
      <c r="J55" s="91"/>
      <c r="K55" s="91"/>
      <c r="L55" s="91"/>
      <c r="M55" s="90"/>
      <c r="N55" s="90"/>
    </row>
    <row r="56" spans="2:14" ht="15">
      <c r="B56" s="89"/>
      <c r="C56" s="580"/>
      <c r="D56" s="91"/>
      <c r="E56" s="91"/>
      <c r="F56" s="247" t="s">
        <v>46</v>
      </c>
      <c r="G56" s="91"/>
      <c r="H56" s="91"/>
      <c r="I56" s="91"/>
      <c r="J56" s="91"/>
      <c r="K56" s="91" t="s">
        <v>191</v>
      </c>
      <c r="L56" s="91"/>
      <c r="M56" s="90"/>
      <c r="N56" s="90"/>
    </row>
    <row r="57" spans="2:14" ht="15">
      <c r="B57" s="89"/>
      <c r="C57" s="580"/>
      <c r="D57" s="91"/>
      <c r="E57" s="91"/>
      <c r="F57" s="91" t="s">
        <v>202</v>
      </c>
      <c r="G57" s="91"/>
      <c r="H57" s="91"/>
      <c r="I57" s="91"/>
      <c r="J57" s="91"/>
      <c r="K57" s="91"/>
      <c r="L57" s="91"/>
      <c r="M57" s="90"/>
      <c r="N57" s="90"/>
    </row>
    <row r="58" spans="2:14" ht="15">
      <c r="B58" s="89"/>
      <c r="C58" s="609"/>
      <c r="D58" s="91"/>
      <c r="E58" s="91"/>
      <c r="F58" s="247"/>
      <c r="G58" s="91"/>
      <c r="H58" s="91"/>
      <c r="I58" s="91"/>
      <c r="J58" s="91"/>
      <c r="K58" s="91"/>
      <c r="L58" s="91"/>
      <c r="M58" s="90"/>
      <c r="N58" s="90"/>
    </row>
    <row r="59" spans="2:14" ht="15">
      <c r="B59" s="89"/>
      <c r="C59" s="579">
        <v>8</v>
      </c>
      <c r="D59" s="610">
        <v>0.0898</v>
      </c>
      <c r="E59" s="582" t="s">
        <v>16</v>
      </c>
      <c r="F59" s="210" t="s">
        <v>198</v>
      </c>
      <c r="G59" s="210"/>
      <c r="H59" s="210"/>
      <c r="I59" s="210"/>
      <c r="J59" s="210"/>
      <c r="K59" s="210"/>
      <c r="L59" s="210"/>
      <c r="M59" s="211"/>
      <c r="N59" s="90"/>
    </row>
    <row r="60" spans="2:14" ht="15">
      <c r="B60" s="89"/>
      <c r="C60" s="580"/>
      <c r="D60" s="611"/>
      <c r="E60" s="355"/>
      <c r="F60" s="565" t="s">
        <v>32</v>
      </c>
      <c r="G60" s="565"/>
      <c r="H60" s="565"/>
      <c r="I60" s="565"/>
      <c r="J60" s="565"/>
      <c r="K60" s="565"/>
      <c r="L60" s="565"/>
      <c r="M60" s="566"/>
      <c r="N60" s="90"/>
    </row>
    <row r="61" spans="2:14" ht="15">
      <c r="B61" s="89"/>
      <c r="C61" s="580"/>
      <c r="D61" s="611"/>
      <c r="E61" s="355"/>
      <c r="F61" s="91" t="s">
        <v>202</v>
      </c>
      <c r="G61" s="247"/>
      <c r="H61" s="247"/>
      <c r="I61" s="247"/>
      <c r="J61" s="247"/>
      <c r="K61" s="247"/>
      <c r="L61" s="91"/>
      <c r="M61" s="90"/>
      <c r="N61" s="90"/>
    </row>
    <row r="62" spans="2:14" ht="15">
      <c r="B62" s="89"/>
      <c r="C62" s="609"/>
      <c r="D62" s="612"/>
      <c r="E62" s="586"/>
      <c r="F62" s="212"/>
      <c r="G62" s="212"/>
      <c r="H62" s="212"/>
      <c r="I62" s="212"/>
      <c r="J62" s="212"/>
      <c r="K62" s="212"/>
      <c r="L62" s="212"/>
      <c r="M62" s="213"/>
      <c r="N62" s="90"/>
    </row>
    <row r="63" spans="2:14" ht="15">
      <c r="B63" s="89"/>
      <c r="C63" s="579">
        <v>9</v>
      </c>
      <c r="D63" s="610">
        <v>2</v>
      </c>
      <c r="E63" s="582" t="s">
        <v>23</v>
      </c>
      <c r="F63" s="210" t="s">
        <v>34</v>
      </c>
      <c r="G63" s="210"/>
      <c r="H63" s="210"/>
      <c r="I63" s="210"/>
      <c r="J63" s="210"/>
      <c r="K63" s="210"/>
      <c r="L63" s="210"/>
      <c r="M63" s="211"/>
      <c r="N63" s="90"/>
    </row>
    <row r="64" spans="2:14" ht="15">
      <c r="B64" s="89"/>
      <c r="C64" s="580"/>
      <c r="D64" s="611"/>
      <c r="E64" s="355"/>
      <c r="F64" s="565" t="s">
        <v>33</v>
      </c>
      <c r="G64" s="565"/>
      <c r="H64" s="565"/>
      <c r="I64" s="565"/>
      <c r="J64" s="565"/>
      <c r="K64" s="565"/>
      <c r="L64" s="565"/>
      <c r="M64" s="566"/>
      <c r="N64" s="90"/>
    </row>
    <row r="65" spans="2:14" ht="15">
      <c r="B65" s="89"/>
      <c r="C65" s="580"/>
      <c r="D65" s="611"/>
      <c r="E65" s="355"/>
      <c r="F65" s="91" t="s">
        <v>202</v>
      </c>
      <c r="G65" s="247"/>
      <c r="H65" s="247"/>
      <c r="I65" s="247"/>
      <c r="J65" s="247"/>
      <c r="K65" s="91"/>
      <c r="L65" s="91"/>
      <c r="M65" s="90"/>
      <c r="N65" s="90"/>
    </row>
    <row r="66" spans="2:14" ht="15">
      <c r="B66" s="89"/>
      <c r="C66" s="609"/>
      <c r="D66" s="612"/>
      <c r="E66" s="586"/>
      <c r="F66" s="212"/>
      <c r="G66" s="212"/>
      <c r="H66" s="212"/>
      <c r="I66" s="212"/>
      <c r="J66" s="212"/>
      <c r="K66" s="212"/>
      <c r="L66" s="212"/>
      <c r="M66" s="213"/>
      <c r="N66" s="90"/>
    </row>
    <row r="67" spans="2:14" ht="15">
      <c r="B67" s="89"/>
      <c r="C67" s="579">
        <v>10</v>
      </c>
      <c r="D67" s="610">
        <v>0.3</v>
      </c>
      <c r="E67" s="582" t="s">
        <v>28</v>
      </c>
      <c r="F67" s="210" t="s">
        <v>29</v>
      </c>
      <c r="G67" s="210"/>
      <c r="H67" s="210"/>
      <c r="I67" s="210"/>
      <c r="J67" s="210"/>
      <c r="K67" s="210"/>
      <c r="L67" s="210"/>
      <c r="M67" s="211"/>
      <c r="N67" s="90"/>
    </row>
    <row r="68" spans="2:14" ht="15">
      <c r="B68" s="89"/>
      <c r="C68" s="580"/>
      <c r="D68" s="611"/>
      <c r="E68" s="355"/>
      <c r="F68" s="565" t="s">
        <v>30</v>
      </c>
      <c r="G68" s="565"/>
      <c r="H68" s="565"/>
      <c r="I68" s="565"/>
      <c r="J68" s="565"/>
      <c r="K68" s="565"/>
      <c r="L68" s="565"/>
      <c r="M68" s="566"/>
      <c r="N68" s="90"/>
    </row>
    <row r="69" spans="2:14" ht="15">
      <c r="B69" s="89"/>
      <c r="C69" s="580"/>
      <c r="D69" s="611"/>
      <c r="E69" s="355"/>
      <c r="F69" s="91" t="s">
        <v>31</v>
      </c>
      <c r="G69" s="91"/>
      <c r="H69" s="91"/>
      <c r="I69" s="91"/>
      <c r="J69" s="91"/>
      <c r="K69" s="91"/>
      <c r="L69" s="91"/>
      <c r="M69" s="90"/>
      <c r="N69" s="90"/>
    </row>
    <row r="70" spans="2:14" ht="15">
      <c r="B70" s="89"/>
      <c r="C70" s="580"/>
      <c r="D70" s="611"/>
      <c r="E70" s="355"/>
      <c r="F70" s="91" t="s">
        <v>202</v>
      </c>
      <c r="G70" s="91"/>
      <c r="H70" s="91"/>
      <c r="I70" s="91"/>
      <c r="J70" s="91"/>
      <c r="K70" s="91"/>
      <c r="L70" s="91"/>
      <c r="M70" s="90"/>
      <c r="N70" s="90"/>
    </row>
    <row r="71" spans="2:14" ht="15">
      <c r="B71" s="89"/>
      <c r="C71" s="609"/>
      <c r="D71" s="612"/>
      <c r="E71" s="586"/>
      <c r="F71" s="212"/>
      <c r="G71" s="212"/>
      <c r="H71" s="212"/>
      <c r="I71" s="212"/>
      <c r="J71" s="212"/>
      <c r="K71" s="212"/>
      <c r="L71" s="212"/>
      <c r="M71" s="213"/>
      <c r="N71" s="90"/>
    </row>
    <row r="72" spans="2:14" ht="15">
      <c r="B72" s="89"/>
      <c r="C72" s="579">
        <v>11</v>
      </c>
      <c r="D72" s="610">
        <v>0.0027</v>
      </c>
      <c r="E72" s="582" t="s">
        <v>28</v>
      </c>
      <c r="F72" s="210" t="s">
        <v>199</v>
      </c>
      <c r="G72" s="210"/>
      <c r="H72" s="210"/>
      <c r="I72" s="210"/>
      <c r="J72" s="210"/>
      <c r="K72" s="210"/>
      <c r="L72" s="210"/>
      <c r="M72" s="211"/>
      <c r="N72" s="90"/>
    </row>
    <row r="73" spans="2:14" ht="15">
      <c r="B73" s="89"/>
      <c r="C73" s="580"/>
      <c r="D73" s="611"/>
      <c r="E73" s="355"/>
      <c r="F73" s="222" t="s">
        <v>85</v>
      </c>
      <c r="G73" s="91"/>
      <c r="H73" s="91"/>
      <c r="I73" s="91"/>
      <c r="J73" s="91"/>
      <c r="K73" s="91"/>
      <c r="L73" s="91"/>
      <c r="M73" s="90"/>
      <c r="N73" s="90"/>
    </row>
    <row r="74" spans="2:14" ht="15">
      <c r="B74" s="89"/>
      <c r="C74" s="609"/>
      <c r="D74" s="612"/>
      <c r="E74" s="586"/>
      <c r="F74" s="567" t="s">
        <v>86</v>
      </c>
      <c r="G74" s="567"/>
      <c r="H74" s="567"/>
      <c r="I74" s="567"/>
      <c r="J74" s="567"/>
      <c r="K74" s="567"/>
      <c r="L74" s="567"/>
      <c r="M74" s="568"/>
      <c r="N74" s="90"/>
    </row>
    <row r="75" spans="2:14" ht="15">
      <c r="B75" s="89"/>
      <c r="C75" s="579">
        <v>12</v>
      </c>
      <c r="D75" s="610">
        <v>0.006</v>
      </c>
      <c r="E75" s="582" t="s">
        <v>28</v>
      </c>
      <c r="F75" s="210" t="s">
        <v>92</v>
      </c>
      <c r="G75" s="210"/>
      <c r="H75" s="210"/>
      <c r="I75" s="210"/>
      <c r="J75" s="210"/>
      <c r="K75" s="210"/>
      <c r="L75" s="210"/>
      <c r="M75" s="211"/>
      <c r="N75" s="90"/>
    </row>
    <row r="76" spans="2:14" ht="15">
      <c r="B76" s="89"/>
      <c r="C76" s="580"/>
      <c r="D76" s="611"/>
      <c r="E76" s="355"/>
      <c r="F76" s="222" t="s">
        <v>85</v>
      </c>
      <c r="G76" s="91"/>
      <c r="H76" s="91"/>
      <c r="I76" s="91"/>
      <c r="J76" s="91"/>
      <c r="K76" s="91"/>
      <c r="L76" s="91"/>
      <c r="M76" s="90"/>
      <c r="N76" s="90"/>
    </row>
    <row r="77" spans="2:14" ht="15">
      <c r="B77" s="89"/>
      <c r="C77" s="609"/>
      <c r="D77" s="612"/>
      <c r="E77" s="586"/>
      <c r="F77" s="567" t="s">
        <v>86</v>
      </c>
      <c r="G77" s="567"/>
      <c r="H77" s="567"/>
      <c r="I77" s="567"/>
      <c r="J77" s="567"/>
      <c r="K77" s="567"/>
      <c r="L77" s="567"/>
      <c r="M77" s="568"/>
      <c r="N77" s="90"/>
    </row>
    <row r="78" spans="2:14" ht="15">
      <c r="B78" s="89"/>
      <c r="C78" s="579">
        <v>13</v>
      </c>
      <c r="D78" s="610">
        <v>0.22</v>
      </c>
      <c r="E78" s="582" t="s">
        <v>23</v>
      </c>
      <c r="F78" s="210" t="s">
        <v>84</v>
      </c>
      <c r="G78" s="210"/>
      <c r="H78" s="210"/>
      <c r="I78" s="210"/>
      <c r="J78" s="210"/>
      <c r="K78" s="210"/>
      <c r="L78" s="210"/>
      <c r="M78" s="211"/>
      <c r="N78" s="90"/>
    </row>
    <row r="79" spans="2:14" ht="15">
      <c r="B79" s="89"/>
      <c r="C79" s="580"/>
      <c r="D79" s="611"/>
      <c r="E79" s="355"/>
      <c r="F79" s="222" t="s">
        <v>87</v>
      </c>
      <c r="G79" s="91"/>
      <c r="H79" s="91"/>
      <c r="I79" s="91"/>
      <c r="J79" s="91"/>
      <c r="K79" s="91"/>
      <c r="L79" s="91"/>
      <c r="M79" s="90"/>
      <c r="N79" s="90"/>
    </row>
    <row r="80" spans="2:14" ht="15">
      <c r="B80" s="89"/>
      <c r="C80" s="580"/>
      <c r="D80" s="611"/>
      <c r="E80" s="355"/>
      <c r="F80" s="567" t="s">
        <v>88</v>
      </c>
      <c r="G80" s="567"/>
      <c r="H80" s="567"/>
      <c r="I80" s="567"/>
      <c r="J80" s="567"/>
      <c r="K80" s="567"/>
      <c r="L80" s="567"/>
      <c r="M80" s="568"/>
      <c r="N80" s="90"/>
    </row>
    <row r="81" spans="2:14" ht="15.75" customHeight="1">
      <c r="B81" s="89"/>
      <c r="C81" s="579">
        <v>14</v>
      </c>
      <c r="D81" s="597"/>
      <c r="E81" s="583"/>
      <c r="F81" s="593" t="s">
        <v>239</v>
      </c>
      <c r="G81" s="593"/>
      <c r="H81" s="593"/>
      <c r="I81" s="593"/>
      <c r="J81" s="593"/>
      <c r="K81" s="593"/>
      <c r="L81" s="593"/>
      <c r="M81" s="594"/>
      <c r="N81" s="90"/>
    </row>
    <row r="82" spans="2:14" ht="15">
      <c r="B82" s="89"/>
      <c r="C82" s="580"/>
      <c r="D82" s="598"/>
      <c r="E82" s="584"/>
      <c r="F82" s="595"/>
      <c r="G82" s="595"/>
      <c r="H82" s="595"/>
      <c r="I82" s="595"/>
      <c r="J82" s="595"/>
      <c r="K82" s="595"/>
      <c r="L82" s="595"/>
      <c r="M82" s="596"/>
      <c r="N82" s="90"/>
    </row>
    <row r="83" spans="2:14" ht="15">
      <c r="B83" s="89"/>
      <c r="C83" s="580"/>
      <c r="D83" s="599"/>
      <c r="E83" s="600"/>
      <c r="F83" s="595"/>
      <c r="G83" s="595"/>
      <c r="H83" s="595"/>
      <c r="I83" s="595"/>
      <c r="J83" s="595"/>
      <c r="K83" s="595"/>
      <c r="L83" s="595"/>
      <c r="M83" s="596"/>
      <c r="N83" s="90"/>
    </row>
    <row r="84" spans="2:14" ht="15">
      <c r="B84" s="89"/>
      <c r="C84" s="579">
        <v>15</v>
      </c>
      <c r="D84" s="582"/>
      <c r="E84" s="583"/>
      <c r="F84" s="577" t="s">
        <v>286</v>
      </c>
      <c r="G84" s="577"/>
      <c r="H84" s="577"/>
      <c r="I84" s="577"/>
      <c r="J84" s="577"/>
      <c r="K84" s="577"/>
      <c r="L84" s="577"/>
      <c r="M84" s="578"/>
      <c r="N84" s="90"/>
    </row>
    <row r="85" spans="2:14" ht="15">
      <c r="B85" s="89"/>
      <c r="C85" s="580"/>
      <c r="D85" s="355"/>
      <c r="E85" s="584"/>
      <c r="F85" s="587"/>
      <c r="G85" s="587"/>
      <c r="H85" s="587"/>
      <c r="I85" s="587"/>
      <c r="J85" s="587"/>
      <c r="K85" s="587"/>
      <c r="L85" s="587"/>
      <c r="M85" s="588"/>
      <c r="N85" s="90"/>
    </row>
    <row r="86" spans="2:14" ht="15">
      <c r="B86" s="89"/>
      <c r="C86" s="580"/>
      <c r="D86" s="355"/>
      <c r="E86" s="584"/>
      <c r="F86" s="587"/>
      <c r="G86" s="587"/>
      <c r="H86" s="587"/>
      <c r="I86" s="587"/>
      <c r="J86" s="587"/>
      <c r="K86" s="587"/>
      <c r="L86" s="587"/>
      <c r="M86" s="588"/>
      <c r="N86" s="90"/>
    </row>
    <row r="87" spans="2:14" ht="15">
      <c r="B87" s="89"/>
      <c r="C87" s="592">
        <v>16</v>
      </c>
      <c r="D87" s="397"/>
      <c r="E87" s="397"/>
      <c r="F87" s="589" t="s">
        <v>294</v>
      </c>
      <c r="G87" s="577"/>
      <c r="H87" s="577"/>
      <c r="I87" s="577"/>
      <c r="J87" s="577"/>
      <c r="K87" s="577"/>
      <c r="L87" s="577"/>
      <c r="M87" s="578"/>
      <c r="N87" s="90"/>
    </row>
    <row r="88" spans="2:14" ht="15">
      <c r="B88" s="89"/>
      <c r="C88" s="592"/>
      <c r="D88" s="397"/>
      <c r="E88" s="397"/>
      <c r="F88" s="590"/>
      <c r="G88" s="587"/>
      <c r="H88" s="587"/>
      <c r="I88" s="587"/>
      <c r="J88" s="587"/>
      <c r="K88" s="587"/>
      <c r="L88" s="587"/>
      <c r="M88" s="588"/>
      <c r="N88" s="90"/>
    </row>
    <row r="89" spans="2:14" ht="15">
      <c r="B89" s="89"/>
      <c r="C89" s="592"/>
      <c r="D89" s="397"/>
      <c r="E89" s="397"/>
      <c r="F89" s="590"/>
      <c r="G89" s="587"/>
      <c r="H89" s="587"/>
      <c r="I89" s="587"/>
      <c r="J89" s="587"/>
      <c r="K89" s="587"/>
      <c r="L89" s="587"/>
      <c r="M89" s="588"/>
      <c r="N89" s="90"/>
    </row>
    <row r="90" spans="2:14" ht="15">
      <c r="B90" s="89"/>
      <c r="C90" s="579"/>
      <c r="D90" s="591"/>
      <c r="E90" s="591"/>
      <c r="F90" s="590"/>
      <c r="G90" s="587"/>
      <c r="H90" s="587"/>
      <c r="I90" s="587"/>
      <c r="J90" s="587"/>
      <c r="K90" s="587"/>
      <c r="L90" s="587"/>
      <c r="M90" s="588"/>
      <c r="N90" s="90"/>
    </row>
    <row r="91" spans="2:14" ht="15">
      <c r="B91" s="89"/>
      <c r="C91" s="575">
        <v>17</v>
      </c>
      <c r="D91" s="573"/>
      <c r="E91" s="573"/>
      <c r="F91" s="569" t="s">
        <v>296</v>
      </c>
      <c r="G91" s="569"/>
      <c r="H91" s="569"/>
      <c r="I91" s="569"/>
      <c r="J91" s="569"/>
      <c r="K91" s="569"/>
      <c r="L91" s="569"/>
      <c r="M91" s="570"/>
      <c r="N91" s="90"/>
    </row>
    <row r="92" spans="2:14" ht="15">
      <c r="B92" s="89"/>
      <c r="C92" s="576"/>
      <c r="D92" s="574"/>
      <c r="E92" s="574"/>
      <c r="F92" s="571"/>
      <c r="G92" s="571"/>
      <c r="H92" s="571"/>
      <c r="I92" s="571"/>
      <c r="J92" s="571"/>
      <c r="K92" s="571"/>
      <c r="L92" s="571"/>
      <c r="M92" s="572"/>
      <c r="N92" s="90"/>
    </row>
    <row r="93" spans="2:14" ht="15">
      <c r="B93" s="89"/>
      <c r="C93" s="579">
        <v>18</v>
      </c>
      <c r="D93" s="582"/>
      <c r="E93" s="583"/>
      <c r="F93" s="577" t="s">
        <v>300</v>
      </c>
      <c r="G93" s="577"/>
      <c r="H93" s="577"/>
      <c r="I93" s="577"/>
      <c r="J93" s="577"/>
      <c r="K93" s="577"/>
      <c r="L93" s="577"/>
      <c r="M93" s="578"/>
      <c r="N93" s="90"/>
    </row>
    <row r="94" spans="2:14" ht="15">
      <c r="B94" s="89"/>
      <c r="C94" s="580"/>
      <c r="D94" s="355"/>
      <c r="E94" s="584"/>
      <c r="F94" s="28"/>
      <c r="G94" s="28"/>
      <c r="H94" s="28"/>
      <c r="I94" s="28"/>
      <c r="J94" s="28"/>
      <c r="K94" s="28"/>
      <c r="L94" s="28"/>
      <c r="M94" s="29"/>
      <c r="N94" s="90"/>
    </row>
    <row r="95" spans="2:14" ht="15">
      <c r="B95" s="89"/>
      <c r="C95" s="580"/>
      <c r="D95" s="355"/>
      <c r="E95" s="584"/>
      <c r="F95" s="28"/>
      <c r="G95" s="35" t="s">
        <v>301</v>
      </c>
      <c r="H95" s="35" t="s">
        <v>302</v>
      </c>
      <c r="I95" s="35" t="s">
        <v>303</v>
      </c>
      <c r="J95" s="35" t="s">
        <v>304</v>
      </c>
      <c r="K95" s="35" t="s">
        <v>305</v>
      </c>
      <c r="L95" s="28"/>
      <c r="M95" s="29"/>
      <c r="N95" s="90"/>
    </row>
    <row r="96" spans="2:14" ht="15">
      <c r="B96" s="89"/>
      <c r="C96" s="580"/>
      <c r="D96" s="355"/>
      <c r="E96" s="584"/>
      <c r="F96" s="28"/>
      <c r="G96" s="205">
        <v>0.013</v>
      </c>
      <c r="H96" s="205">
        <v>0.0169</v>
      </c>
      <c r="I96" s="205">
        <v>0.0207</v>
      </c>
      <c r="J96" s="205">
        <v>0.0235</v>
      </c>
      <c r="K96" s="205">
        <v>0.0262</v>
      </c>
      <c r="L96" s="28"/>
      <c r="M96" s="29"/>
      <c r="N96" s="90"/>
    </row>
    <row r="97" spans="2:14" ht="15">
      <c r="B97" s="89"/>
      <c r="C97" s="580"/>
      <c r="D97" s="355"/>
      <c r="E97" s="584"/>
      <c r="F97" s="104"/>
      <c r="G97" s="104"/>
      <c r="H97" s="104"/>
      <c r="I97" s="104"/>
      <c r="J97" s="104"/>
      <c r="K97" s="28"/>
      <c r="L97" s="28"/>
      <c r="M97" s="29"/>
      <c r="N97" s="90"/>
    </row>
    <row r="98" spans="2:14" ht="15" customHeight="1">
      <c r="B98" s="89"/>
      <c r="C98" s="580"/>
      <c r="D98" s="355"/>
      <c r="E98" s="584"/>
      <c r="F98" s="629" t="s">
        <v>335</v>
      </c>
      <c r="G98" s="627"/>
      <c r="H98" s="627"/>
      <c r="I98" s="627"/>
      <c r="J98" s="627"/>
      <c r="K98" s="627"/>
      <c r="L98" s="627"/>
      <c r="M98" s="628"/>
      <c r="N98" s="90"/>
    </row>
    <row r="99" spans="2:14" ht="15">
      <c r="B99" s="89"/>
      <c r="C99" s="580"/>
      <c r="D99" s="355"/>
      <c r="E99" s="584"/>
      <c r="F99" s="629"/>
      <c r="G99" s="627"/>
      <c r="H99" s="627"/>
      <c r="I99" s="627"/>
      <c r="J99" s="627"/>
      <c r="K99" s="627"/>
      <c r="L99" s="627"/>
      <c r="M99" s="628"/>
      <c r="N99" s="90"/>
    </row>
    <row r="100" spans="2:14" ht="15">
      <c r="B100" s="89"/>
      <c r="C100" s="580"/>
      <c r="D100" s="355"/>
      <c r="E100" s="584"/>
      <c r="F100" s="630" t="s">
        <v>336</v>
      </c>
      <c r="G100" s="631"/>
      <c r="H100" s="631"/>
      <c r="I100" s="631"/>
      <c r="J100" s="631"/>
      <c r="K100" s="631"/>
      <c r="L100" s="631"/>
      <c r="M100" s="632"/>
      <c r="N100" s="90"/>
    </row>
    <row r="101" spans="2:14" ht="15" customHeight="1" thickBot="1">
      <c r="B101" s="89"/>
      <c r="C101" s="581"/>
      <c r="D101" s="531"/>
      <c r="E101" s="585"/>
      <c r="F101" s="633"/>
      <c r="G101" s="634"/>
      <c r="H101" s="634"/>
      <c r="I101" s="634"/>
      <c r="J101" s="634"/>
      <c r="K101" s="634"/>
      <c r="L101" s="634"/>
      <c r="M101" s="635"/>
      <c r="N101" s="90"/>
    </row>
    <row r="102" spans="2:14" ht="15.75" thickBot="1">
      <c r="B102" s="100"/>
      <c r="C102" s="224"/>
      <c r="D102" s="101"/>
      <c r="E102" s="101"/>
      <c r="F102" s="225"/>
      <c r="G102" s="101"/>
      <c r="H102" s="101"/>
      <c r="I102" s="101"/>
      <c r="J102" s="101"/>
      <c r="K102" s="101"/>
      <c r="L102" s="101"/>
      <c r="M102" s="101"/>
      <c r="N102" s="102"/>
    </row>
  </sheetData>
  <sheetProtection password="E7B2" sheet="1"/>
  <mergeCells count="68">
    <mergeCell ref="F13:M14"/>
    <mergeCell ref="F15:M20"/>
    <mergeCell ref="F45:M47"/>
    <mergeCell ref="D47:E47"/>
    <mergeCell ref="C26:C31"/>
    <mergeCell ref="C78:C80"/>
    <mergeCell ref="C75:C77"/>
    <mergeCell ref="C72:C74"/>
    <mergeCell ref="C67:C71"/>
    <mergeCell ref="C63:C66"/>
    <mergeCell ref="C32:C44"/>
    <mergeCell ref="F3:I3"/>
    <mergeCell ref="J3:L3"/>
    <mergeCell ref="D24:E25"/>
    <mergeCell ref="D21:E23"/>
    <mergeCell ref="C5:M5"/>
    <mergeCell ref="C24:C25"/>
    <mergeCell ref="C21:C23"/>
    <mergeCell ref="C13:C20"/>
    <mergeCell ref="C6:C12"/>
    <mergeCell ref="D6:E12"/>
    <mergeCell ref="E63:E66"/>
    <mergeCell ref="D63:D66"/>
    <mergeCell ref="E67:E71"/>
    <mergeCell ref="D67:D71"/>
    <mergeCell ref="D26:D31"/>
    <mergeCell ref="D32:E44"/>
    <mergeCell ref="D53:E53"/>
    <mergeCell ref="D59:D62"/>
    <mergeCell ref="E59:E62"/>
    <mergeCell ref="C3:E3"/>
    <mergeCell ref="D13:E20"/>
    <mergeCell ref="C59:C62"/>
    <mergeCell ref="C45:C58"/>
    <mergeCell ref="E26:E31"/>
    <mergeCell ref="E78:E80"/>
    <mergeCell ref="D78:D80"/>
    <mergeCell ref="E75:E77"/>
    <mergeCell ref="D75:D77"/>
    <mergeCell ref="D72:D74"/>
    <mergeCell ref="E72:E74"/>
    <mergeCell ref="F84:M86"/>
    <mergeCell ref="D84:E86"/>
    <mergeCell ref="C84:C86"/>
    <mergeCell ref="F87:M90"/>
    <mergeCell ref="D87:E90"/>
    <mergeCell ref="C87:C90"/>
    <mergeCell ref="F81:M83"/>
    <mergeCell ref="D81:E83"/>
    <mergeCell ref="C81:C83"/>
    <mergeCell ref="F91:M92"/>
    <mergeCell ref="D91:E92"/>
    <mergeCell ref="C91:C92"/>
    <mergeCell ref="F93:M93"/>
    <mergeCell ref="C93:C101"/>
    <mergeCell ref="D93:E101"/>
    <mergeCell ref="F98:M99"/>
    <mergeCell ref="F100:M101"/>
    <mergeCell ref="F10:M10"/>
    <mergeCell ref="F7:M7"/>
    <mergeCell ref="F29:M29"/>
    <mergeCell ref="F27:M27"/>
    <mergeCell ref="F80:M80"/>
    <mergeCell ref="F77:M77"/>
    <mergeCell ref="F74:M74"/>
    <mergeCell ref="F68:M68"/>
    <mergeCell ref="F64:M64"/>
    <mergeCell ref="F60:M60"/>
  </mergeCells>
  <hyperlinks>
    <hyperlink ref="F68" r:id="rId1" display="http://www.plugintogreencanada.com/step1_elec_only_calc.php/Emissions_from_Electricity/196/47/0"/>
    <hyperlink ref="F60" r:id="rId2" display="http://www.kingstonhydro.com/Commercial/Rates.aspx"/>
    <hyperlink ref="F64" r:id="rId3" display="http://www.bankofcanada.ca/en/inflation/"/>
    <hyperlink ref="F56" r:id="rId4" display="http://www.codinghorror.com/blog/archives/000562.html"/>
    <hyperlink ref="F10" r:id="rId5" display="http://www.gearfuse.com/wp-content/uploads/andrew/4_mar07/thinkcentre_m52_tower_1.jpg"/>
    <hyperlink ref="F7" r:id="rId6" display="http://www.medimanage.com/Images/docking%20staion.jpg"/>
    <hyperlink ref="F74" r:id="rId7" display="http://www.epa.gov/cleanrgy/energy-and-you/affect/coal.html"/>
    <hyperlink ref="F77" r:id="rId8" display="http://www.epa.gov/cleanrgy/energy-and-you/affect/coal.html"/>
    <hyperlink ref="F80" r:id="rId9" display="http://www.opg.com/power/"/>
    <hyperlink ref="F36" r:id="rId10" display="energy reference"/>
    <hyperlink ref="F35" r:id="rId11" display="price reference"/>
    <hyperlink ref="F41" r:id="rId12" display="price reference"/>
    <hyperlink ref="F42" r:id="rId13" display="energy reference"/>
    <hyperlink ref="F44" r:id="rId14" display="price reference"/>
    <hyperlink ref="F27" r:id="rId15" display="http://www.costhelper.com/cost/computers/computers-desktop.html "/>
    <hyperlink ref="F49" r:id="rId16" display="http://www.dssw.co.uk/research/computer_energy_consumption.html "/>
    <hyperlink ref="F51" r:id="rId17" display="http://www.upenn.edu/computing/provider/docs/hardware/powerusage.html "/>
    <hyperlink ref="F38" r:id="rId18" display="price reference"/>
    <hyperlink ref="F39" r:id="rId19" display="energy reference"/>
    <hyperlink ref="F54" r:id="rId20" display="http://downloads.energystar.gov/bi/qplist/laptops_prod_list.xls "/>
    <hyperlink ref="F29" r:id="rId21" display="http://www.dell.com/home/desktops#subcats=inspndt&amp;navla=&amp;a="/>
    <hyperlink ref="F3:I3" location="'1.Home'!A1" display="Please review disclaimer on the Home tab"/>
    <hyperlink ref="F7:M7" r:id="rId22" display="http://www.medimanage.com/Images/docking%20staion.jpg "/>
    <hyperlink ref="F98:M99" r:id="rId23" display="The risk free rates are based on the 1-year Canadian treasury bill rate http://www.bank-banque-canada.ca/en/rates/tbill.html and the 2, 3 and 5 year treasury bond rates "/>
    <hyperlink ref="F100:M101" r:id="rId24" display="http://www.bank-banque-canada.ca/en/rates/bonds.html.  these values were last accessed May 28,2010.  The 4-year rate is a linear extrapolation between the posted 3 and 5 year treasury bond rate."/>
  </hyperlinks>
  <printOptions gridLines="1"/>
  <pageMargins left="0.7" right="0.7" top="0.75" bottom="0.75" header="0.3" footer="0.3"/>
  <pageSetup horizontalDpi="600" verticalDpi="600" orientation="portrait" scale="67" r:id="rId25"/>
  <headerFooter>
    <oddHeader>&amp;LECM010a - Energy efficient laptops&amp;R&amp;A</oddHeader>
    <oddFooter>&amp;LLast modified by user: &amp;D&amp;RPage &amp;P of &amp;N</oddFooter>
  </headerFooter>
  <rowBreaks count="1" manualBreakCount="1">
    <brk id="58" min="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Matt Urquhart</cp:lastModifiedBy>
  <cp:lastPrinted>2010-09-06T22:34:34Z</cp:lastPrinted>
  <dcterms:created xsi:type="dcterms:W3CDTF">2010-02-07T21:55:40Z</dcterms:created>
  <dcterms:modified xsi:type="dcterms:W3CDTF">2011-06-15T06:40:56Z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