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1" activeTab="7"/>
  </bookViews>
  <sheets>
    <sheet name="Data sheet" sheetId="1" r:id="rId1"/>
    <sheet name="Source" sheetId="2" r:id="rId2"/>
    <sheet name="TAU" sheetId="3" r:id="rId3"/>
    <sheet name="plate HE" sheetId="4" r:id="rId4"/>
    <sheet name="pressure-flow calcs" sheetId="5" r:id="rId5"/>
    <sheet name="calcs" sheetId="6" r:id="rId6"/>
    <sheet name="trimmed data" sheetId="7" r:id="rId7"/>
    <sheet name="Parts" sheetId="8" r:id="rId8"/>
    <sheet name="RK-HG compr" sheetId="9" r:id="rId9"/>
    <sheet name="old parts list" sheetId="10" r:id="rId10"/>
    <sheet name="misc" sheetId="11" r:id="rId11"/>
  </sheets>
  <definedNames>
    <definedName name="dens">'pressure-flow calcs'!$D$5</definedName>
  </definedNames>
  <calcPr fullCalcOnLoad="1"/>
</workbook>
</file>

<file path=xl/comments4.xml><?xml version="1.0" encoding="utf-8"?>
<comments xmlns="http://schemas.openxmlformats.org/spreadsheetml/2006/main">
  <authors>
    <author>John Cantor</author>
  </authors>
  <commentList>
    <comment ref="D49" authorId="0">
      <text>
        <r>
          <rPr>
            <b/>
            <sz val="8"/>
            <rFont val="Tahoma"/>
            <family val="0"/>
          </rPr>
          <t>John Cantor:</t>
        </r>
        <r>
          <rPr>
            <sz val="8"/>
            <rFont val="Tahoma"/>
            <family val="0"/>
          </rPr>
          <t xml:space="preserve">
from data,   too high, pump only 40kPa total</t>
        </r>
      </text>
    </comment>
    <comment ref="D40" authorId="0">
      <text>
        <r>
          <rPr>
            <b/>
            <sz val="8"/>
            <rFont val="Tahoma"/>
            <family val="0"/>
          </rPr>
          <t>John Cantor:</t>
        </r>
        <r>
          <rPr>
            <sz val="8"/>
            <rFont val="Tahoma"/>
            <family val="0"/>
          </rPr>
          <t xml:space="preserve">
guessed at 35/0 
actual 11.4 with bad he,s  at 12/7-15/30</t>
        </r>
      </text>
    </comment>
    <comment ref="D36" authorId="0">
      <text>
        <r>
          <rPr>
            <b/>
            <sz val="8"/>
            <rFont val="Tahoma"/>
            <family val="0"/>
          </rPr>
          <t>John Cantor:</t>
        </r>
        <r>
          <rPr>
            <sz val="8"/>
            <rFont val="Tahoma"/>
            <family val="0"/>
          </rPr>
          <t xml:space="preserve">
Existing heat pump</t>
        </r>
      </text>
    </comment>
    <comment ref="D7" authorId="0">
      <text>
        <r>
          <rPr>
            <b/>
            <sz val="8"/>
            <rFont val="Tahoma"/>
            <family val="0"/>
          </rPr>
          <t>John Cantor:</t>
        </r>
        <r>
          <rPr>
            <sz val="8"/>
            <rFont val="Tahoma"/>
            <family val="0"/>
          </rPr>
          <t xml:space="preserve">
guessed at 35/0 
actual 11.4 with bad he,s  at 12/7-15/30</t>
        </r>
      </text>
    </comment>
    <comment ref="D16" authorId="0">
      <text>
        <r>
          <rPr>
            <b/>
            <sz val="8"/>
            <rFont val="Tahoma"/>
            <family val="0"/>
          </rPr>
          <t>John Cantor:</t>
        </r>
        <r>
          <rPr>
            <sz val="8"/>
            <rFont val="Tahoma"/>
            <family val="0"/>
          </rPr>
          <t xml:space="preserve">
from data,   too high, pump only 40kPa total</t>
        </r>
      </text>
    </comment>
  </commentList>
</comments>
</file>

<file path=xl/sharedStrings.xml><?xml version="1.0" encoding="utf-8"?>
<sst xmlns="http://schemas.openxmlformats.org/spreadsheetml/2006/main" count="795" uniqueCount="426">
  <si>
    <t>room</t>
  </si>
  <si>
    <t>m²</t>
  </si>
  <si>
    <t>spacing</t>
  </si>
  <si>
    <t>pipes per sqm</t>
  </si>
  <si>
    <t xml:space="preserve">m </t>
  </si>
  <si>
    <t>total pipe</t>
  </si>
  <si>
    <t>m</t>
  </si>
  <si>
    <t>each loop</t>
  </si>
  <si>
    <t>m³/hr</t>
  </si>
  <si>
    <t>gal/ min</t>
  </si>
  <si>
    <t>lit/sec</t>
  </si>
  <si>
    <t>Kwatts</t>
  </si>
  <si>
    <t>lit/sec.</t>
  </si>
  <si>
    <t>tem diff</t>
  </si>
  <si>
    <t>this is for 3 loops</t>
  </si>
  <si>
    <t xml:space="preserve">one loop </t>
  </si>
  <si>
    <t>flow per loop</t>
  </si>
  <si>
    <t>m³/h</t>
  </si>
  <si>
    <t>pressure if 15mm</t>
  </si>
  <si>
    <t>4.9m</t>
  </si>
  <si>
    <t>7.5m</t>
  </si>
  <si>
    <t>pressure if 16mm</t>
  </si>
  <si>
    <t>3.11m</t>
  </si>
  <si>
    <t>4.85m</t>
  </si>
  <si>
    <t>The flow rate has been calculated using ;  kW = lit/sec x 4.2 x temp diff.</t>
  </si>
  <si>
    <t>i.e.  If we are dumping 6kW in and dt is 9, we must have about .16 lit/sec flow.</t>
  </si>
  <si>
    <t>now looking at pressures, it seems apparent that the pipe usd is 16mm od, probably 2.3mm wall   ( however, it could be 15mm thin wall??</t>
  </si>
  <si>
    <t>Anyhow, the pressures and flows seem resonable.</t>
  </si>
  <si>
    <t xml:space="preserve">What we really need is to input a realistic amount into the floor over a longer period so we could tell the actual flow and return when you have say </t>
  </si>
  <si>
    <t>watts/m²</t>
  </si>
  <si>
    <t>heat (KW)</t>
  </si>
  <si>
    <t>kW</t>
  </si>
  <si>
    <t>6kW equates to 100w/m², but we want to input about 50w/m². This is in line with low-energy buildings  (you would probably use less)</t>
  </si>
  <si>
    <t>i.e. 3kW would be about right</t>
  </si>
  <si>
    <t>Therefore, a 1hr on, 1 hr off test over say 12 hours would really tell us what would happen if you fitted a heat pump, and worked it hard in winter</t>
  </si>
  <si>
    <t>However, the first test seems to proove that the floor does not budge much over 1 hour, so it is acting as a good buffer. It has a good thermal mass.</t>
  </si>
  <si>
    <t>Date</t>
  </si>
  <si>
    <t xml:space="preserve"> Time</t>
  </si>
  <si>
    <t>boiler flow (out)</t>
  </si>
  <si>
    <t>boiler return (in)</t>
  </si>
  <si>
    <t>manifold (in) return to boiler</t>
  </si>
  <si>
    <t>manifold to floor (out)</t>
  </si>
  <si>
    <t>3.5kW</t>
  </si>
  <si>
    <t>flow of 0.16 lit/sec</t>
  </si>
  <si>
    <t>lit/min</t>
  </si>
  <si>
    <t>m head</t>
  </si>
  <si>
    <t>dt</t>
  </si>
  <si>
    <t>Litres/min</t>
  </si>
  <si>
    <t>litres/sec</t>
  </si>
  <si>
    <t>ideally a calorex 3.5 would like 10 litres/min</t>
  </si>
  <si>
    <t xml:space="preserve">lit min </t>
  </si>
  <si>
    <t>For 120m loop of 15mm o.d. pipe the pressure flow equation gives the following:-</t>
  </si>
  <si>
    <t xml:space="preserve">14° dt is far too much </t>
  </si>
  <si>
    <t xml:space="preserve">this is ideal </t>
  </si>
  <si>
    <t>1)</t>
  </si>
  <si>
    <t>2)</t>
  </si>
  <si>
    <t>For 120m loop of 16mm o.d. pipe the pressure flow equation gives</t>
  </si>
  <si>
    <t>This is resulting flow with normal pump at top speed</t>
  </si>
  <si>
    <t>Below is heat-flowrate calc.</t>
  </si>
  <si>
    <t>5 loops means that flowrate is dividede by 5</t>
  </si>
  <si>
    <t>heat pump requires</t>
  </si>
  <si>
    <t>number of loops</t>
  </si>
  <si>
    <t>lit/min per loop</t>
  </si>
  <si>
    <t>For 100m loop of 16mm o.d. pipe the pressure flow equation gives the following:-</t>
  </si>
  <si>
    <t>Richard Jones example</t>
  </si>
  <si>
    <t>per loop</t>
  </si>
  <si>
    <t>lit /min required</t>
  </si>
  <si>
    <t>PRESSURE DROP MUCH MUCH LOWER</t>
  </si>
  <si>
    <t>The pressure is related to a ² law, so reducung the flow reduces pump pressure dramatically.</t>
  </si>
  <si>
    <t>Maximum flow that can be forced down a 16mm pipe (120m long) using a normal pump</t>
  </si>
  <si>
    <t>of about 2kW is put in, then dt is about 8°.</t>
  </si>
  <si>
    <t>This means that you would always need to spill 1.5kW to the house.</t>
  </si>
  <si>
    <t>This does not allow for any unknowns/ margins of safety</t>
  </si>
  <si>
    <t>3)</t>
  </si>
  <si>
    <t>4)</t>
  </si>
  <si>
    <t>heat output</t>
  </si>
  <si>
    <t xml:space="preserve">5°C temp.  Diff. </t>
  </si>
  <si>
    <t>Calorex state a minimum flow of 7.5 lit/min</t>
  </si>
  <si>
    <t xml:space="preserve">ideal </t>
  </si>
  <si>
    <t>Calorex minimum</t>
  </si>
  <si>
    <t>This is the maximum realistic pressure from a domestic pump on speed 3</t>
  </si>
  <si>
    <t>5)</t>
  </si>
  <si>
    <t>16mm pipe</t>
  </si>
  <si>
    <t>15mm pipe</t>
  </si>
  <si>
    <t>pump speed 2 should be plenty</t>
  </si>
  <si>
    <t>6) use 2 pumps to force it around!</t>
  </si>
  <si>
    <t>This is the maximum realistic pressure from TWO domestic pumps, speed 3</t>
  </si>
  <si>
    <t>This is resulting flow with 2 normal pumps at top speed</t>
  </si>
  <si>
    <t xml:space="preserve">9.5° dt is still too much </t>
  </si>
  <si>
    <t>The main house</t>
  </si>
  <si>
    <t>RK5480</t>
  </si>
  <si>
    <t>Condenser</t>
  </si>
  <si>
    <t xml:space="preserve">Compressor </t>
  </si>
  <si>
    <t>Evaporator</t>
  </si>
  <si>
    <t>Suction-liquid heat-exchanger</t>
  </si>
  <si>
    <t>TEV</t>
  </si>
  <si>
    <t xml:space="preserve">Accumulator? </t>
  </si>
  <si>
    <t>Pipework</t>
  </si>
  <si>
    <t>HP/LP</t>
  </si>
  <si>
    <t>copper fittings</t>
  </si>
  <si>
    <t>charging ports</t>
  </si>
  <si>
    <t>Compressor contactor</t>
  </si>
  <si>
    <t>Digital thermostat</t>
  </si>
  <si>
    <t>Electrics</t>
  </si>
  <si>
    <t>Source</t>
  </si>
  <si>
    <t>fittings to evaporator</t>
  </si>
  <si>
    <t>Source pump 15-50</t>
  </si>
  <si>
    <t>Load side</t>
  </si>
  <si>
    <t>Alpha2 15-15</t>
  </si>
  <si>
    <t>exp vessel</t>
  </si>
  <si>
    <t>drier</t>
  </si>
  <si>
    <t>sight glass</t>
  </si>
  <si>
    <t>box and connectors</t>
  </si>
  <si>
    <t>Grand total, parts</t>
  </si>
  <si>
    <t>time to piece together</t>
  </si>
  <si>
    <t>1 week at 150 = 750</t>
  </si>
  <si>
    <t xml:space="preserve">heat pump size </t>
  </si>
  <si>
    <t>RK 5480</t>
  </si>
  <si>
    <t>RK5490</t>
  </si>
  <si>
    <t>Some approximate figures for Ian Taylor</t>
  </si>
  <si>
    <t>R407C</t>
  </si>
  <si>
    <t>evap</t>
  </si>
  <si>
    <t>cond</t>
  </si>
  <si>
    <t>input</t>
  </si>
  <si>
    <t>ref</t>
  </si>
  <si>
    <t>heat out</t>
  </si>
  <si>
    <t>COP</t>
  </si>
  <si>
    <t>°C</t>
  </si>
  <si>
    <t>watts</t>
  </si>
  <si>
    <t>note, assume no sub-cool, so actual performance better</t>
  </si>
  <si>
    <t>let us assume that heat output is 2 to 2.5 kW with R290 propane</t>
  </si>
  <si>
    <t>Extracted heat from source</t>
  </si>
  <si>
    <t xml:space="preserve">typical </t>
  </si>
  <si>
    <t>kw</t>
  </si>
  <si>
    <t>100m loops</t>
  </si>
  <si>
    <t>off</t>
  </si>
  <si>
    <t>rule of thumb</t>
  </si>
  <si>
    <t>loops</t>
  </si>
  <si>
    <t>flow rate</t>
  </si>
  <si>
    <t>Heat transfer (evaporator)</t>
  </si>
  <si>
    <t>Specific heat Glycol</t>
  </si>
  <si>
    <t>kj/kg °C</t>
  </si>
  <si>
    <t>temperature drop</t>
  </si>
  <si>
    <t>Length of pipe:</t>
  </si>
  <si>
    <t>Ext Dia:</t>
  </si>
  <si>
    <t>mm</t>
  </si>
  <si>
    <t>Wall Thickness:</t>
  </si>
  <si>
    <t>Flow rate</t>
  </si>
  <si>
    <t>l/min</t>
  </si>
  <si>
    <t>Pa</t>
  </si>
  <si>
    <t>Bar</t>
  </si>
  <si>
    <t>M head</t>
  </si>
  <si>
    <t>2 x 100m 25mm dia</t>
  </si>
  <si>
    <t>Glycol</t>
  </si>
  <si>
    <t>GRAND TOTAL</t>
  </si>
  <si>
    <t>Water Water heat pump unit</t>
  </si>
  <si>
    <t xml:space="preserve">Compressor type </t>
  </si>
  <si>
    <t>Rotary</t>
  </si>
  <si>
    <t xml:space="preserve">Model </t>
  </si>
  <si>
    <t xml:space="preserve">Refrigerant </t>
  </si>
  <si>
    <t>R290 Propane ( Calor Care 40)</t>
  </si>
  <si>
    <t>Expansion valve</t>
  </si>
  <si>
    <t xml:space="preserve">Source temperature range </t>
  </si>
  <si>
    <t>-5 to +10°C</t>
  </si>
  <si>
    <t>Source fluid</t>
  </si>
  <si>
    <t>glycol</t>
  </si>
  <si>
    <t xml:space="preserve">Hot water range </t>
  </si>
  <si>
    <t>+25 to 50°C</t>
  </si>
  <si>
    <t>Luc, this data sheet will need completing as the project develops</t>
  </si>
  <si>
    <t>Assume evaporating at 0°C, and condensing at 40°C</t>
  </si>
  <si>
    <t>refrigeration duty</t>
  </si>
  <si>
    <t>BTU/hr</t>
  </si>
  <si>
    <t>Tonnes</t>
  </si>
  <si>
    <t>Plate  ApfaLaval CB52 16 or 12 plate</t>
  </si>
  <si>
    <t>Supplier</t>
  </si>
  <si>
    <t>Wolseley</t>
  </si>
  <si>
    <t>Stock</t>
  </si>
  <si>
    <t>RCL</t>
  </si>
  <si>
    <t>This indicates that we need a nominal 1/2 tonne expansion valve, but the pressure across our valve is very low. No data available</t>
  </si>
  <si>
    <t>EXPANSION VALVE SIZE &gt;&gt;</t>
  </si>
  <si>
    <t>Parker SE-1/2-1.1/2VW  R22/407C-   3/8", 1/2"</t>
  </si>
  <si>
    <t>Part no</t>
  </si>
  <si>
    <t>IPAR669</t>
  </si>
  <si>
    <t xml:space="preserve">3/8" </t>
  </si>
  <si>
    <t>3/8"</t>
  </si>
  <si>
    <t>HP high pressure cutout</t>
  </si>
  <si>
    <t>Low pressure cutout</t>
  </si>
  <si>
    <t>Power input Maximum</t>
  </si>
  <si>
    <t>680 watts</t>
  </si>
  <si>
    <t>3 Amps</t>
  </si>
  <si>
    <t>Maximum run current</t>
  </si>
  <si>
    <t>Thermostatic</t>
  </si>
  <si>
    <t>Plate, stainless, copper-brazed</t>
  </si>
  <si>
    <t>Water flow rate</t>
  </si>
  <si>
    <t>Nominal heat output</t>
  </si>
  <si>
    <t>2 kW</t>
  </si>
  <si>
    <t>L'unite Hermetique RK5480C</t>
  </si>
  <si>
    <t>Source pump</t>
  </si>
  <si>
    <t>Heating pump</t>
  </si>
  <si>
    <t>Probably Grundfos Alpha-II 15-60</t>
  </si>
  <si>
    <t>RK5480C</t>
  </si>
  <si>
    <t>Fabricated from copper</t>
  </si>
  <si>
    <t>May not be needed - already fitted to compressor</t>
  </si>
  <si>
    <t>Sealed IP65 control box</t>
  </si>
  <si>
    <t>Motor overload  (3A)</t>
  </si>
  <si>
    <t>(pressure switches listed above)</t>
  </si>
  <si>
    <t>Copper pipe od</t>
  </si>
  <si>
    <t>1/4</t>
  </si>
  <si>
    <t>3/16</t>
  </si>
  <si>
    <t>3/8</t>
  </si>
  <si>
    <t>1/2</t>
  </si>
  <si>
    <t>3/4</t>
  </si>
  <si>
    <t>7/8</t>
  </si>
  <si>
    <t>1   1/8</t>
  </si>
  <si>
    <t>1   3/8</t>
  </si>
  <si>
    <t>5/8</t>
  </si>
  <si>
    <t>inch</t>
  </si>
  <si>
    <t>EXAMPLE 1, typical sizing for a 2kW heat pump.  2 x 100m loops of 25mm o.d.</t>
  </si>
  <si>
    <t>kPa</t>
  </si>
  <si>
    <t>Figures from Stiebel Eltron</t>
  </si>
  <si>
    <t>GROUND LOOP SIZING</t>
  </si>
  <si>
    <t>Stiebel</t>
  </si>
  <si>
    <t>Clivet</t>
  </si>
  <si>
    <t>re- done 2006</t>
  </si>
  <si>
    <t>bar</t>
  </si>
  <si>
    <t>WPF7</t>
  </si>
  <si>
    <t>WRHH31</t>
  </si>
  <si>
    <t>SWEP</t>
  </si>
  <si>
    <t>IDEAL</t>
  </si>
  <si>
    <t>WPF10</t>
  </si>
  <si>
    <t>WPWE8</t>
  </si>
  <si>
    <t>m (h)</t>
  </si>
  <si>
    <t>Evap</t>
  </si>
  <si>
    <t>20% glycol</t>
  </si>
  <si>
    <t>Existing</t>
  </si>
  <si>
    <t>as first column</t>
  </si>
  <si>
    <t>20? Plates</t>
  </si>
  <si>
    <t>18 plate</t>
  </si>
  <si>
    <t>B25x20H/1P</t>
  </si>
  <si>
    <t>hPa</t>
  </si>
  <si>
    <t>Kw (cond)</t>
  </si>
  <si>
    <t>Kw (in)</t>
  </si>
  <si>
    <t>kW (evap</t>
  </si>
  <si>
    <t>flow m³/h</t>
  </si>
  <si>
    <t>The big one</t>
  </si>
  <si>
    <t>flow lit/sec</t>
  </si>
  <si>
    <t>BHE maunufacturing, Alfa Laval</t>
  </si>
  <si>
    <t>TD</t>
  </si>
  <si>
    <t>Article 43020, type CB76-30L man. No. 16792296 15/06/2004</t>
  </si>
  <si>
    <t>PD hpa</t>
  </si>
  <si>
    <t>m(h)</t>
  </si>
  <si>
    <t>KPa</t>
  </si>
  <si>
    <t>ideal</t>
  </si>
  <si>
    <t>30? Plates</t>
  </si>
  <si>
    <t>14 plate</t>
  </si>
  <si>
    <t>B15Hx 20/1P-SC-S</t>
  </si>
  <si>
    <r>
      <t>Evaporator,  (20% glycol)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capacity        6kW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flowrate        0.36 lit/sec   ( 1.3 m³/h.)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pressure drop ? around 100 hpa ?</t>
    </r>
    <r>
      <rPr>
        <sz val="10"/>
        <rFont val="Arial"/>
        <family val="0"/>
      </rPr>
      <t xml:space="preserve">   </t>
    </r>
    <r>
      <rPr>
        <sz val="8"/>
        <rFont val="Arial"/>
        <family val="0"/>
      </rPr>
      <t>Condenser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capacity        8kW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flowrate        0.38 lit/sec  (1.37m³/h )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pressure drop ?  max 200 hpa ?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Refrigerant is Propane R290</t>
    </r>
  </si>
  <si>
    <t xml:space="preserve">This sheet shows data for the heatexchagers to be used on the 2kW prototype </t>
  </si>
  <si>
    <t>2kW</t>
  </si>
  <si>
    <t>prototype</t>
  </si>
  <si>
    <t>lit/hr</t>
  </si>
  <si>
    <t>by extrapolating original spec, we arrive at a pressure drop within this evaporator of 8.2 kPa</t>
  </si>
  <si>
    <t>If the larger heatexchanger is used as the evaporator, then the pressure drop is likely to be 1.5m with water! This is getting high!</t>
  </si>
  <si>
    <t>Heat transfer (condenser)</t>
  </si>
  <si>
    <t>Specific heat water</t>
  </si>
  <si>
    <t xml:space="preserve">water </t>
  </si>
  <si>
    <t>2.5°</t>
  </si>
  <si>
    <t>22.5°</t>
  </si>
  <si>
    <t>52.5°</t>
  </si>
  <si>
    <t>glycol 20%</t>
  </si>
  <si>
    <t>glycol 35%</t>
  </si>
  <si>
    <t>Comparing pressure drops, water and glycol</t>
  </si>
  <si>
    <t>EXAMPLE 3, Alternative is to go for 3 x 100m. This will give less pump power, but 3 x manifold is much harder than 2 x manifold.</t>
  </si>
  <si>
    <t xml:space="preserve">EXAMPLE 2,     2 x loops of 150m </t>
  </si>
  <si>
    <t xml:space="preserve">20% glycol causes pressure drop of about 1.25 times </t>
  </si>
  <si>
    <t>Specific heat of water</t>
  </si>
  <si>
    <t>Specific heat of 20% glycol</t>
  </si>
  <si>
    <t>So, if 2 loops, then pressure drop is only 1 m head max.   This is perfect. But pipe are a bit small</t>
  </si>
  <si>
    <t>Pressure starting to get high!</t>
  </si>
  <si>
    <t xml:space="preserve">EXAMPLE 4,  try one long length of 32mm </t>
  </si>
  <si>
    <t>Pressure too high!!!</t>
  </si>
  <si>
    <t>Bordering on mixed flow, not turbulent!   However, we can increse flow rate a little since pressure drop is so low</t>
  </si>
  <si>
    <t>(20% ethylene glycol)</t>
  </si>
  <si>
    <t>K</t>
  </si>
  <si>
    <t>3 x 100m 25mm dia</t>
  </si>
  <si>
    <t>Litres/m</t>
  </si>
  <si>
    <t>Enter pipe length</t>
  </si>
  <si>
    <t>Volume</t>
  </si>
  <si>
    <t>pipe dia</t>
  </si>
  <si>
    <t>25mm</t>
  </si>
  <si>
    <t>bore</t>
  </si>
  <si>
    <t>32mm</t>
  </si>
  <si>
    <t>40mm</t>
  </si>
  <si>
    <t>50mm</t>
  </si>
  <si>
    <t>63mm</t>
  </si>
  <si>
    <t>volume in heat pump</t>
  </si>
  <si>
    <t>TOTAL VOLUME</t>
  </si>
  <si>
    <t>glycol concentration</t>
  </si>
  <si>
    <t>Glycol content</t>
  </si>
  <si>
    <t>Ian Taylor</t>
  </si>
  <si>
    <t>GLYCOL QUANTITY</t>
  </si>
  <si>
    <t>16 plate</t>
  </si>
  <si>
    <t>12 plate</t>
  </si>
  <si>
    <t>Heated water circuit</t>
  </si>
  <si>
    <t>Source, glycol circuit</t>
  </si>
  <si>
    <t>(These are minimum requirements)</t>
  </si>
  <si>
    <t>Cond</t>
  </si>
  <si>
    <t>16-plate Evap 12-plate condenser</t>
  </si>
  <si>
    <t>12-plate evap, 16-plate condenser</t>
  </si>
  <si>
    <t>evap (water)</t>
  </si>
  <si>
    <t>Evap, 20% glycol</t>
  </si>
  <si>
    <t>Original data from plate heatexchangers</t>
  </si>
  <si>
    <t>Notes</t>
  </si>
  <si>
    <t>Opyion 1</t>
  </si>
  <si>
    <t>Option 2</t>
  </si>
  <si>
    <t>Pressure drop in underfloor pipe is high, therefore condesner drop should be as low as possible, option 2 therefore better.</t>
  </si>
  <si>
    <t>Source could tollerate 1.3m head easily, especially since source pipework  pressure drop is low. Either option OK</t>
  </si>
  <si>
    <t>Possible refrigerant problems with a big evaporator, possibly flooding and oil-return issues. Option 2 better</t>
  </si>
  <si>
    <t>Condenser would prefer a larger area to keep condensing low, Option 2 better.</t>
  </si>
  <si>
    <t xml:space="preserve">Small evaporator will cause bigger DT, but should be acceptable. </t>
  </si>
  <si>
    <t xml:space="preserve"> Int Diameter:</t>
  </si>
  <si>
    <t>kg/s</t>
  </si>
  <si>
    <t xml:space="preserve">3.25 lit sec is the most that will flow down the 16mm pipe. </t>
  </si>
  <si>
    <t>a 2kW heat pump would balance at 9k if this loop only!</t>
  </si>
  <si>
    <t>we can dissipate about 1.2kW with a dt of 5k</t>
  </si>
  <si>
    <t>MSAG052</t>
  </si>
  <si>
    <t>061F7505  261 psi, 20 bar Button auto cutout</t>
  </si>
  <si>
    <t>MSAG054</t>
  </si>
  <si>
    <t>061F7508  377 psi, 20 bar Button auto cutout</t>
  </si>
  <si>
    <t>061F7525  25 psi, 1.72 bar Button auto cutout</t>
  </si>
  <si>
    <t>MSAG007</t>
  </si>
  <si>
    <t>MSAG005</t>
  </si>
  <si>
    <t>061F7522  10 psi, 0.69 bar Button auto cutout</t>
  </si>
  <si>
    <t>Frost thermostat</t>
  </si>
  <si>
    <t>Discharge thermostat</t>
  </si>
  <si>
    <t>Manual reset</t>
  </si>
  <si>
    <t>SPOR012</t>
  </si>
  <si>
    <t>1/4" SA12s</t>
  </si>
  <si>
    <t>SPOR107</t>
  </si>
  <si>
    <t>1/4" Drier C-052</t>
  </si>
  <si>
    <t>Drier</t>
  </si>
  <si>
    <t>Sight glass</t>
  </si>
  <si>
    <t>stock</t>
  </si>
  <si>
    <t>Calorex</t>
  </si>
  <si>
    <t>1/4" , 3/8" liquid and discharge, 3/8" suction.</t>
  </si>
  <si>
    <t>notes</t>
  </si>
  <si>
    <t>3/8" tees</t>
  </si>
  <si>
    <t>KCFT572</t>
  </si>
  <si>
    <t>KCFT573</t>
  </si>
  <si>
    <t>1/2" tees</t>
  </si>
  <si>
    <t>1/4" tees</t>
  </si>
  <si>
    <t>KCFT570</t>
  </si>
  <si>
    <t>KCFT195</t>
  </si>
  <si>
    <t>3/8" to 1/4" m-f reducer</t>
  </si>
  <si>
    <t>5/8" to 1/2" m-f reducer</t>
  </si>
  <si>
    <t>7/8" to 1/2" m-f reducer</t>
  </si>
  <si>
    <t>KCFT198</t>
  </si>
  <si>
    <t>KCFT205</t>
  </si>
  <si>
    <t>1/4 charging port with 1/4" copper tail</t>
  </si>
  <si>
    <t>5/8" tees</t>
  </si>
  <si>
    <t>KCFT574</t>
  </si>
  <si>
    <t>Compressor overload</t>
  </si>
  <si>
    <t>Eliwell IC902</t>
  </si>
  <si>
    <t>Auto reset.  (Calorex type)</t>
  </si>
  <si>
    <t>Transformer</t>
  </si>
  <si>
    <t>12v Eliwell</t>
  </si>
  <si>
    <t>Indicator lights</t>
  </si>
  <si>
    <t>isolation switch</t>
  </si>
  <si>
    <t>Hours-run meter</t>
  </si>
  <si>
    <t>Moeller</t>
  </si>
  <si>
    <t>Moeller 2.5 to 4A</t>
  </si>
  <si>
    <t>RS</t>
  </si>
  <si>
    <t>220 x 200 x 140</t>
  </si>
  <si>
    <t xml:space="preserve">Data taken from similar heatexchanger using TAU software. </t>
  </si>
  <si>
    <t>liquid R22</t>
  </si>
  <si>
    <t>heat</t>
  </si>
  <si>
    <t>inlet</t>
  </si>
  <si>
    <t>outlet</t>
  </si>
  <si>
    <t>flow</t>
  </si>
  <si>
    <t>kg/sec</t>
  </si>
  <si>
    <t>Plates</t>
  </si>
  <si>
    <t>no.</t>
  </si>
  <si>
    <t>Kpa</t>
  </si>
  <si>
    <t>Evap temp</t>
  </si>
  <si>
    <t>dt evap-water out</t>
  </si>
  <si>
    <t xml:space="preserve"> R22 in</t>
  </si>
  <si>
    <t>R22 out</t>
  </si>
  <si>
    <t>Water</t>
  </si>
  <si>
    <t>Cond temp</t>
  </si>
  <si>
    <t>dt cond-water out</t>
  </si>
  <si>
    <t>Reasons to fit smaller evaporator</t>
  </si>
  <si>
    <t>less refrigerant quantity in system</t>
  </si>
  <si>
    <t>low velocity rising within evaporator, could lead to flooded evaporator, hence more refrigerant needed.</t>
  </si>
  <si>
    <t>Reasons why not to use small evaporator</t>
  </si>
  <si>
    <t>sucion pressure significantly lower- hence lower COP</t>
  </si>
  <si>
    <t>plates</t>
  </si>
  <si>
    <t>Extrapolation from 10,14 and 20 plates to 12 and 14 plates</t>
  </si>
  <si>
    <t xml:space="preserve">12 plate </t>
  </si>
  <si>
    <t>difference</t>
  </si>
  <si>
    <t>EVAPORATOR</t>
  </si>
  <si>
    <t>cond.</t>
  </si>
  <si>
    <t>the advantage of using the bigger heatehanger on condenser saves (theoretically) about 1/2 °</t>
  </si>
  <si>
    <t>the advantage of using the bigger heatehanger on evaporator saves (theoretically) about 1/4 °</t>
  </si>
  <si>
    <t>Looking at GEA selection</t>
  </si>
  <si>
    <t xml:space="preserve">This is equivalent to 10 plate </t>
  </si>
  <si>
    <t>This is equivalent to 9 plate</t>
  </si>
  <si>
    <t>Advantages of a bigger condenser</t>
  </si>
  <si>
    <t>the condeser could act as a receiver, and not loose performance. I.e. if the system is over-charged, the condensing pressure will not rise much.</t>
  </si>
  <si>
    <t>CONCLUSION, use 12 plate evaportaor and 16 plate condenser</t>
  </si>
  <si>
    <t>from PH</t>
  </si>
  <si>
    <t>5k superheat</t>
  </si>
  <si>
    <t>+ 10k heat exchange</t>
  </si>
  <si>
    <t xml:space="preserve"> 20K heat exchange</t>
  </si>
  <si>
    <t>suct temp</t>
  </si>
  <si>
    <t>discharge</t>
  </si>
  <si>
    <t>heat-exchange wattege</t>
  </si>
  <si>
    <t>blue figures are mm from graph</t>
  </si>
  <si>
    <t>64!</t>
  </si>
  <si>
    <t>Heatexchage</t>
  </si>
  <si>
    <t>liquid in</t>
  </si>
  <si>
    <t>liquid out</t>
  </si>
  <si>
    <t>vapour in</t>
  </si>
  <si>
    <t>vapour out</t>
  </si>
  <si>
    <t>30K</t>
  </si>
  <si>
    <t>lots!</t>
  </si>
  <si>
    <t>not possible!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</si>
</sst>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  <numFmt numFmtId="183" formatCode="0.0"/>
    <numFmt numFmtId="184" formatCode="&quot;£&quot;#,##0.00"/>
    <numFmt numFmtId="185" formatCode="0.0%"/>
  </numFmts>
  <fonts count="46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4.7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3.5"/>
      <name val="Arial"/>
      <family val="0"/>
    </font>
    <font>
      <sz val="5.25"/>
      <name val="Arial"/>
      <family val="0"/>
    </font>
    <font>
      <b/>
      <sz val="8"/>
      <name val="Arial"/>
      <family val="0"/>
    </font>
    <font>
      <sz val="5"/>
      <name val="Arial"/>
      <family val="0"/>
    </font>
    <font>
      <sz val="3.25"/>
      <name val="Arial"/>
      <family val="0"/>
    </font>
    <font>
      <b/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20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2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/>
    </xf>
    <xf numFmtId="20" fontId="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82" fontId="0" fillId="0" borderId="16" xfId="0" applyNumberFormat="1" applyBorder="1" applyAlignment="1">
      <alignment/>
    </xf>
    <xf numFmtId="183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81" fontId="0" fillId="22" borderId="10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Alignment="1" quotePrefix="1">
      <alignment/>
    </xf>
    <xf numFmtId="0" fontId="31" fillId="0" borderId="0" xfId="0" applyFont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25" xfId="0" applyFont="1" applyBorder="1" applyAlignment="1">
      <alignment/>
    </xf>
    <xf numFmtId="3" fontId="0" fillId="0" borderId="0" xfId="0" applyNumberFormat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0" fontId="0" fillId="24" borderId="20" xfId="0" applyFill="1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17" borderId="20" xfId="0" applyFill="1" applyBorder="1" applyAlignment="1">
      <alignment/>
    </xf>
    <xf numFmtId="0" fontId="36" fillId="0" borderId="0" xfId="0" applyFont="1" applyAlignment="1">
      <alignment/>
    </xf>
    <xf numFmtId="0" fontId="36" fillId="0" borderId="21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5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9" fontId="0" fillId="0" borderId="18" xfId="0" applyNumberFormat="1" applyBorder="1" applyAlignment="1">
      <alignment/>
    </xf>
    <xf numFmtId="0" fontId="38" fillId="0" borderId="0" xfId="0" applyFont="1" applyAlignment="1">
      <alignment/>
    </xf>
    <xf numFmtId="2" fontId="0" fillId="0" borderId="0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1" fontId="0" fillId="0" borderId="0" xfId="0" applyNumberFormat="1" applyAlignment="1">
      <alignment/>
    </xf>
    <xf numFmtId="0" fontId="38" fillId="0" borderId="11" xfId="0" applyFont="1" applyBorder="1" applyAlignment="1">
      <alignment/>
    </xf>
    <xf numFmtId="18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 horizontal="right"/>
    </xf>
    <xf numFmtId="1" fontId="0" fillId="0" borderId="15" xfId="0" applyNumberFormat="1" applyFill="1" applyBorder="1" applyAlignment="1">
      <alignment/>
    </xf>
    <xf numFmtId="181" fontId="0" fillId="22" borderId="28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25" borderId="0" xfId="0" applyFill="1" applyBorder="1" applyAlignment="1">
      <alignment/>
    </xf>
    <xf numFmtId="2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 horizontal="center"/>
    </xf>
    <xf numFmtId="2" fontId="0" fillId="25" borderId="15" xfId="0" applyNumberFormat="1" applyFill="1" applyBorder="1" applyAlignment="1">
      <alignment/>
    </xf>
    <xf numFmtId="0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1" xfId="0" applyFill="1" applyBorder="1" applyAlignment="1">
      <alignment horizontal="center" vertical="center"/>
    </xf>
    <xf numFmtId="182" fontId="0" fillId="25" borderId="12" xfId="0" applyNumberFormat="1" applyFill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182" fontId="0" fillId="25" borderId="17" xfId="0" applyNumberFormat="1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4" xfId="0" applyFill="1" applyBorder="1" applyAlignment="1">
      <alignment horizontal="left" vertical="center"/>
    </xf>
    <xf numFmtId="0" fontId="0" fillId="25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182" fontId="0" fillId="7" borderId="12" xfId="0" applyNumberFormat="1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182" fontId="0" fillId="7" borderId="17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4" xfId="0" applyFill="1" applyBorder="1" applyAlignment="1">
      <alignment horizontal="left" vertical="center"/>
    </xf>
    <xf numFmtId="0" fontId="0" fillId="7" borderId="0" xfId="0" applyFill="1" applyAlignment="1">
      <alignment/>
    </xf>
    <xf numFmtId="0" fontId="28" fillId="19" borderId="20" xfId="0" applyFont="1" applyFill="1" applyBorder="1" applyAlignment="1">
      <alignment/>
    </xf>
    <xf numFmtId="0" fontId="5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4" fontId="5" fillId="25" borderId="0" xfId="0" applyNumberFormat="1" applyFont="1" applyFill="1" applyBorder="1" applyAlignment="1">
      <alignment/>
    </xf>
    <xf numFmtId="2" fontId="5" fillId="25" borderId="0" xfId="0" applyNumberFormat="1" applyFont="1" applyFill="1" applyBorder="1" applyAlignment="1">
      <alignment/>
    </xf>
    <xf numFmtId="0" fontId="5" fillId="25" borderId="24" xfId="0" applyFont="1" applyFill="1" applyBorder="1" applyAlignment="1">
      <alignment/>
    </xf>
    <xf numFmtId="0" fontId="5" fillId="25" borderId="21" xfId="0" applyFont="1" applyFill="1" applyBorder="1" applyAlignment="1">
      <alignment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4" fontId="5" fillId="7" borderId="0" xfId="0" applyNumberFormat="1" applyFont="1" applyFill="1" applyBorder="1" applyAlignment="1">
      <alignment/>
    </xf>
    <xf numFmtId="2" fontId="5" fillId="7" borderId="0" xfId="0" applyNumberFormat="1" applyFont="1" applyFill="1" applyBorder="1" applyAlignment="1">
      <alignment/>
    </xf>
    <xf numFmtId="0" fontId="5" fillId="7" borderId="24" xfId="0" applyFont="1" applyFill="1" applyBorder="1" applyAlignment="1">
      <alignment/>
    </xf>
    <xf numFmtId="0" fontId="5" fillId="7" borderId="21" xfId="0" applyFont="1" applyFill="1" applyBorder="1" applyAlignment="1">
      <alignment/>
    </xf>
    <xf numFmtId="0" fontId="5" fillId="25" borderId="19" xfId="0" applyFont="1" applyFill="1" applyBorder="1" applyAlignment="1">
      <alignment/>
    </xf>
    <xf numFmtId="0" fontId="5" fillId="7" borderId="19" xfId="0" applyFont="1" applyFill="1" applyBorder="1" applyAlignment="1">
      <alignment/>
    </xf>
    <xf numFmtId="180" fontId="5" fillId="7" borderId="0" xfId="0" applyNumberFormat="1" applyFont="1" applyFill="1" applyBorder="1" applyAlignment="1">
      <alignment/>
    </xf>
    <xf numFmtId="180" fontId="5" fillId="25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9" fillId="0" borderId="19" xfId="0" applyFont="1" applyBorder="1" applyAlignment="1">
      <alignment/>
    </xf>
    <xf numFmtId="183" fontId="39" fillId="0" borderId="19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0" fillId="0" borderId="0" xfId="0" applyBorder="1" applyAlignment="1" quotePrefix="1">
      <alignment horizontal="right"/>
    </xf>
    <xf numFmtId="2" fontId="0" fillId="0" borderId="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TAU!$H$5</c:f>
              <c:strCache>
                <c:ptCount val="1"/>
                <c:pt idx="0">
                  <c:v>Kpa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TAU!$I$5</c:f>
              <c:strCache/>
            </c:strRef>
          </c:cat>
          <c:val>
            <c:numRef>
              <c:f>TAU!$H$6:$H$8</c:f>
              <c:numCache/>
            </c:numRef>
          </c:val>
          <c:smooth val="0"/>
        </c:ser>
        <c:ser>
          <c:idx val="1"/>
          <c:order val="1"/>
          <c:tx>
            <c:strRef>
              <c:f>TAU!$I$5</c:f>
              <c:strCache>
                <c:ptCount val="1"/>
                <c:pt idx="0">
                  <c:v>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TAU!$I$5</c:f>
              <c:strCache/>
            </c:strRef>
          </c:cat>
          <c:val>
            <c:numRef>
              <c:f>TAU!$I$6:$I$8</c:f>
              <c:numCache/>
            </c:numRef>
          </c:val>
          <c:smooth val="0"/>
        </c:ser>
        <c:marker val="1"/>
        <c:axId val="64690453"/>
        <c:axId val="63477166"/>
      </c:lineChart>
      <c:catAx>
        <c:axId val="64690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77166"/>
        <c:crosses val="autoZero"/>
        <c:auto val="1"/>
        <c:lblOffset val="100"/>
        <c:noMultiLvlLbl val="0"/>
      </c:catAx>
      <c:valAx>
        <c:axId val="63477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0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cop trend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misc!$C$10:$G$10</c:f>
              <c:numCache/>
            </c:numRef>
          </c:val>
          <c:smooth val="0"/>
        </c:ser>
        <c:axId val="35635343"/>
        <c:axId val="17948632"/>
      </c:lineChart>
      <c:catAx>
        <c:axId val="35635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8632"/>
        <c:crosses val="autoZero"/>
        <c:auto val="1"/>
        <c:lblOffset val="100"/>
        <c:noMultiLvlLbl val="0"/>
      </c:catAx>
      <c:valAx>
        <c:axId val="17948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35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plates v evap temp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TAU!$A$32:$A$34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TAU!$B$32:$B$34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61428671"/>
        <c:axId val="11773320"/>
      </c:scatterChart>
      <c:valAx>
        <c:axId val="61428671"/>
        <c:scaling>
          <c:orientation val="minMax"/>
          <c:max val="2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11773320"/>
        <c:crosses val="autoZero"/>
        <c:crossBetween val="midCat"/>
        <c:dispUnits/>
      </c:valAx>
      <c:valAx>
        <c:axId val="11773320"/>
        <c:scaling>
          <c:orientation val="minMax"/>
          <c:max val="-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8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plates v condensing temp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TAU!$A$45:$A$47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TAU!$B$45:$B$47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67099465"/>
        <c:axId val="66573122"/>
      </c:scatterChart>
      <c:valAx>
        <c:axId val="67099465"/>
        <c:scaling>
          <c:orientation val="minMax"/>
          <c:max val="2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66573122"/>
        <c:crosses val="autoZero"/>
        <c:crossBetween val="midCat"/>
        <c:dispUnits/>
      </c:valAx>
      <c:valAx>
        <c:axId val="66573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9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pressure drop across water/glycol circuits</a:t>
            </a:r>
          </a:p>
        </c:rich>
      </c:tx>
      <c:layout>
        <c:manualLayout>
          <c:xMode val="factor"/>
          <c:yMode val="factor"/>
          <c:x val="-0.064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"/>
          <c:w val="0.768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'plate HE'!$J$10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HE'!$K$9:$L$9</c:f>
              <c:strCache/>
            </c:strRef>
          </c:cat>
          <c:val>
            <c:numRef>
              <c:f>'plate HE'!$K$10:$L$10</c:f>
              <c:numCache/>
            </c:numRef>
          </c:val>
        </c:ser>
        <c:ser>
          <c:idx val="2"/>
          <c:order val="1"/>
          <c:tx>
            <c:strRef>
              <c:f>'plate HE'!$J$12</c:f>
              <c:strCache>
                <c:ptCount val="1"/>
                <c:pt idx="0">
                  <c:v>Evap, 20% glycol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'plate HE'!$K$12:$L$12</c:f>
              <c:numCache/>
            </c:numRef>
          </c:val>
        </c:ser>
        <c:axId val="36571571"/>
        <c:axId val="4204764"/>
      </c:barChart>
      <c:catAx>
        <c:axId val="36571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4764"/>
        <c:crosses val="autoZero"/>
        <c:auto val="1"/>
        <c:lblOffset val="100"/>
        <c:noMultiLvlLbl val="0"/>
      </c:catAx>
      <c:valAx>
        <c:axId val="4204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71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775"/>
          <c:w val="0.644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'trimmed data'!$C$1</c:f>
              <c:strCache>
                <c:ptCount val="1"/>
                <c:pt idx="0">
                  <c:v>boiler flow (out)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'trimmed data'!$C$2:$C$85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'trimmed data'!$D$1</c:f>
              <c:strCache>
                <c:ptCount val="1"/>
                <c:pt idx="0">
                  <c:v>boiler return (in)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'trimmed data'!$D$2:$D$85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'trimmed data'!$E$1</c:f>
              <c:strCache>
                <c:ptCount val="1"/>
                <c:pt idx="0">
                  <c:v>manifold (in) return to boiler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'trimmed data'!$E$2:$E$85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'trimmed data'!$F$1</c:f>
              <c:strCache>
                <c:ptCount val="1"/>
                <c:pt idx="0">
                  <c:v>manifold to floor (out)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'trimmed data'!$F$2:$F$85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marker val="1"/>
        <c:axId val="38344957"/>
        <c:axId val="38178902"/>
      </c:lineChart>
      <c:catAx>
        <c:axId val="3834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78902"/>
        <c:crosses val="autoZero"/>
        <c:auto val="1"/>
        <c:lblOffset val="100"/>
        <c:tickLblSkip val="5"/>
        <c:noMultiLvlLbl val="0"/>
      </c:catAx>
      <c:valAx>
        <c:axId val="38178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4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286"/>
          <c:w val="0.32825"/>
          <c:h val="0.3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2  1 circuit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1225"/>
          <c:w val="0.761"/>
          <c:h val="0.75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"/>
              <c:pt idx="0">
                <c:v>b366:b390</c:v>
              </c:pt>
            </c:strLit>
          </c:cat>
          <c:val>
            <c:numRef>
              <c:f>'trimmed data'!$C$32:$C$56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"/>
              <c:pt idx="0">
                <c:v>b366:b390</c:v>
              </c:pt>
            </c:strLit>
          </c:cat>
          <c:val>
            <c:numRef>
              <c:f>'trimmed data'!$D$32:$D$56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"/>
              <c:pt idx="0">
                <c:v>b366:b390</c:v>
              </c:pt>
            </c:strLit>
          </c:cat>
          <c:val>
            <c:numRef>
              <c:f>'trimmed data'!$E$32:$E$56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Lit>
              <c:ptCount val="1"/>
              <c:pt idx="0">
                <c:v>b366:b390</c:v>
              </c:pt>
            </c:strLit>
          </c:cat>
          <c:val>
            <c:numRef>
              <c:f>'trimmed data'!$F$32:$F$56</c:f>
              <c:numCache/>
            </c:numRef>
          </c:val>
          <c:smooth val="0"/>
        </c:ser>
        <c:marker val="1"/>
        <c:axId val="28713767"/>
        <c:axId val="26071984"/>
      </c:lineChart>
      <c:catAx>
        <c:axId val="2871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71984"/>
        <c:crosses val="autoZero"/>
        <c:auto val="1"/>
        <c:lblOffset val="100"/>
        <c:tickLblSkip val="7"/>
        <c:noMultiLvlLbl val="0"/>
      </c:catAx>
      <c:valAx>
        <c:axId val="26071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3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37"/>
          <c:w val="0.18925"/>
          <c:h val="0.3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1st test all 3 loops open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1325"/>
          <c:w val="0.761"/>
          <c:h val="0.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'trimmed data'!$B$3:$B$27</c:f>
              <c:strCache/>
            </c:strRef>
          </c:cat>
          <c:val>
            <c:numRef>
              <c:f>'trimmed data'!$C$3:$C$27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'trimmed data'!$B$3:$B$27</c:f>
              <c:strCache/>
            </c:strRef>
          </c:cat>
          <c:val>
            <c:numRef>
              <c:f>'trimmed data'!$D$3:$D$27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'trimmed data'!$B$3:$B$27</c:f>
              <c:strCache/>
            </c:strRef>
          </c:cat>
          <c:val>
            <c:numRef>
              <c:f>'trimmed data'!$E$3:$E$27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'trimmed data'!$B$3:$B$27</c:f>
              <c:strCache/>
            </c:strRef>
          </c:cat>
          <c:val>
            <c:numRef>
              <c:f>'trimmed data'!$F$3:$F$27</c:f>
              <c:numCache/>
            </c:numRef>
          </c:val>
          <c:smooth val="0"/>
        </c:ser>
        <c:marker val="1"/>
        <c:axId val="9708081"/>
        <c:axId val="16489706"/>
      </c:lineChart>
      <c:catAx>
        <c:axId val="970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9706"/>
        <c:crosses val="autoZero"/>
        <c:auto val="1"/>
        <c:lblOffset val="100"/>
        <c:tickLblSkip val="2"/>
        <c:noMultiLvlLbl val="0"/>
      </c:catAx>
      <c:valAx>
        <c:axId val="16489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331"/>
          <c:w val="0.18925"/>
          <c:h val="0.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3rd test,  all 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1325"/>
          <c:w val="0.761"/>
          <c:h val="0.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'trimmed data'!$B$60:$B$84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'trimmed data'!$C$60:$C$84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'trimmed data'!$B$60:$B$84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'trimmed data'!$D$60:$D$84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'trimmed data'!$B$60:$B$84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'trimmed data'!$E$60:$E$84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'trimmed data'!$B$60:$B$84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'trimmed data'!$F$60:$F$84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89147"/>
        <c:axId val="22181380"/>
      </c:lineChart>
      <c:catAx>
        <c:axId val="389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1380"/>
        <c:crosses val="autoZero"/>
        <c:auto val="1"/>
        <c:lblOffset val="100"/>
        <c:tickLblSkip val="2"/>
        <c:noMultiLvlLbl val="0"/>
      </c:catAx>
      <c:valAx>
        <c:axId val="22181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331"/>
          <c:w val="0.18925"/>
          <c:h val="0.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 diff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"/>
          <c:w val="0.8405"/>
          <c:h val="0.841"/>
        </c:manualLayout>
      </c:layout>
      <c:lineChart>
        <c:grouping val="standard"/>
        <c:varyColors val="0"/>
        <c:ser>
          <c:idx val="0"/>
          <c:order val="0"/>
          <c:tx>
            <c:v>test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'trimmed data'!$G$3:$G$27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test 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'trimmed data'!$G$32:$G$56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test 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'trimmed data'!$G$60:$G$84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6379109"/>
        <c:axId val="59492606"/>
      </c:lineChart>
      <c:catAx>
        <c:axId val="563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606"/>
        <c:crosses val="autoZero"/>
        <c:auto val="1"/>
        <c:lblOffset val="100"/>
        <c:tickLblSkip val="1"/>
        <c:noMultiLvlLbl val="0"/>
      </c:catAx>
      <c:valAx>
        <c:axId val="59492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9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4555"/>
          <c:w val="0.1182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1</xdr:row>
      <xdr:rowOff>104775</xdr:rowOff>
    </xdr:from>
    <xdr:to>
      <xdr:col>16</xdr:col>
      <xdr:colOff>323850</xdr:colOff>
      <xdr:row>9</xdr:row>
      <xdr:rowOff>114300</xdr:rowOff>
    </xdr:to>
    <xdr:graphicFrame>
      <xdr:nvGraphicFramePr>
        <xdr:cNvPr id="1" name="Chart 1"/>
        <xdr:cNvGraphicFramePr/>
      </xdr:nvGraphicFramePr>
      <xdr:xfrm>
        <a:off x="7734300" y="266700"/>
        <a:ext cx="234315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28</xdr:row>
      <xdr:rowOff>142875</xdr:rowOff>
    </xdr:from>
    <xdr:to>
      <xdr:col>11</xdr:col>
      <xdr:colOff>28575</xdr:colOff>
      <xdr:row>40</xdr:row>
      <xdr:rowOff>114300</xdr:rowOff>
    </xdr:to>
    <xdr:graphicFrame>
      <xdr:nvGraphicFramePr>
        <xdr:cNvPr id="2" name="Chart 4"/>
        <xdr:cNvGraphicFramePr/>
      </xdr:nvGraphicFramePr>
      <xdr:xfrm>
        <a:off x="3343275" y="4714875"/>
        <a:ext cx="33909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266700</xdr:colOff>
      <xdr:row>40</xdr:row>
      <xdr:rowOff>66675</xdr:rowOff>
    </xdr:from>
    <xdr:to>
      <xdr:col>10</xdr:col>
      <xdr:colOff>590550</xdr:colOff>
      <xdr:row>52</xdr:row>
      <xdr:rowOff>28575</xdr:rowOff>
    </xdr:to>
    <xdr:graphicFrame>
      <xdr:nvGraphicFramePr>
        <xdr:cNvPr id="3" name="Chart 5"/>
        <xdr:cNvGraphicFramePr/>
      </xdr:nvGraphicFramePr>
      <xdr:xfrm>
        <a:off x="3314700" y="6619875"/>
        <a:ext cx="337185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142875</xdr:rowOff>
    </xdr:from>
    <xdr:to>
      <xdr:col>23</xdr:col>
      <xdr:colOff>352425</xdr:colOff>
      <xdr:row>25</xdr:row>
      <xdr:rowOff>47625</xdr:rowOff>
    </xdr:to>
    <xdr:graphicFrame>
      <xdr:nvGraphicFramePr>
        <xdr:cNvPr id="1" name="Chart 13"/>
        <xdr:cNvGraphicFramePr/>
      </xdr:nvGraphicFramePr>
      <xdr:xfrm>
        <a:off x="8715375" y="142875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2</xdr:row>
      <xdr:rowOff>28575</xdr:rowOff>
    </xdr:from>
    <xdr:to>
      <xdr:col>31</xdr:col>
      <xdr:colOff>190500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1239500" y="361950"/>
        <a:ext cx="8763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21</xdr:row>
      <xdr:rowOff>57150</xdr:rowOff>
    </xdr:from>
    <xdr:to>
      <xdr:col>15</xdr:col>
      <xdr:colOff>133350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5524500" y="34671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314325</xdr:colOff>
      <xdr:row>3</xdr:row>
      <xdr:rowOff>85725</xdr:rowOff>
    </xdr:from>
    <xdr:to>
      <xdr:col>15</xdr:col>
      <xdr:colOff>104775</xdr:colOff>
      <xdr:row>20</xdr:row>
      <xdr:rowOff>9525</xdr:rowOff>
    </xdr:to>
    <xdr:graphicFrame>
      <xdr:nvGraphicFramePr>
        <xdr:cNvPr id="3" name="Chart 3"/>
        <xdr:cNvGraphicFramePr/>
      </xdr:nvGraphicFramePr>
      <xdr:xfrm>
        <a:off x="5495925" y="581025"/>
        <a:ext cx="46672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39</xdr:row>
      <xdr:rowOff>38100</xdr:rowOff>
    </xdr:from>
    <xdr:to>
      <xdr:col>15</xdr:col>
      <xdr:colOff>171450</xdr:colOff>
      <xdr:row>55</xdr:row>
      <xdr:rowOff>123825</xdr:rowOff>
    </xdr:to>
    <xdr:graphicFrame>
      <xdr:nvGraphicFramePr>
        <xdr:cNvPr id="4" name="Chart 4"/>
        <xdr:cNvGraphicFramePr/>
      </xdr:nvGraphicFramePr>
      <xdr:xfrm>
        <a:off x="5562600" y="6381750"/>
        <a:ext cx="466725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180975</xdr:colOff>
      <xdr:row>57</xdr:row>
      <xdr:rowOff>123825</xdr:rowOff>
    </xdr:from>
    <xdr:to>
      <xdr:col>16</xdr:col>
      <xdr:colOff>581025</xdr:colOff>
      <xdr:row>82</xdr:row>
      <xdr:rowOff>104775</xdr:rowOff>
    </xdr:to>
    <xdr:graphicFrame>
      <xdr:nvGraphicFramePr>
        <xdr:cNvPr id="5" name="Chart 5"/>
        <xdr:cNvGraphicFramePr/>
      </xdr:nvGraphicFramePr>
      <xdr:xfrm>
        <a:off x="5362575" y="9391650"/>
        <a:ext cx="588645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3</xdr:row>
      <xdr:rowOff>47625</xdr:rowOff>
    </xdr:from>
    <xdr:to>
      <xdr:col>15</xdr:col>
      <xdr:colOff>476250</xdr:colOff>
      <xdr:row>11</xdr:row>
      <xdr:rowOff>95250</xdr:rowOff>
    </xdr:to>
    <xdr:graphicFrame>
      <xdr:nvGraphicFramePr>
        <xdr:cNvPr id="1" name="Chart 1"/>
        <xdr:cNvGraphicFramePr/>
      </xdr:nvGraphicFramePr>
      <xdr:xfrm>
        <a:off x="7419975" y="857250"/>
        <a:ext cx="220027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26" sqref="B26"/>
    </sheetView>
  </sheetViews>
  <sheetFormatPr defaultColWidth="9.140625" defaultRowHeight="12.75"/>
  <cols>
    <col min="1" max="1" width="25.140625" style="0" customWidth="1"/>
    <col min="2" max="2" width="28.140625" style="0" customWidth="1"/>
  </cols>
  <sheetData>
    <row r="1" spans="1:3" ht="12.75">
      <c r="A1" t="s">
        <v>155</v>
      </c>
      <c r="C1" s="44" t="s">
        <v>168</v>
      </c>
    </row>
    <row r="2" ht="12.75">
      <c r="C2" s="44"/>
    </row>
    <row r="3" ht="12.75">
      <c r="C3" s="44"/>
    </row>
    <row r="4" spans="1:3" ht="12.75">
      <c r="A4" t="s">
        <v>194</v>
      </c>
      <c r="B4" t="s">
        <v>195</v>
      </c>
      <c r="C4" s="44"/>
    </row>
    <row r="6" spans="1:2" ht="12.75">
      <c r="A6" t="s">
        <v>156</v>
      </c>
      <c r="B6" t="s">
        <v>157</v>
      </c>
    </row>
    <row r="7" spans="1:2" ht="12.75">
      <c r="A7" t="s">
        <v>158</v>
      </c>
      <c r="B7" t="s">
        <v>196</v>
      </c>
    </row>
    <row r="8" spans="1:2" ht="12.75">
      <c r="A8" t="s">
        <v>159</v>
      </c>
      <c r="B8" t="s">
        <v>160</v>
      </c>
    </row>
    <row r="9" spans="1:2" ht="12.75">
      <c r="A9" t="s">
        <v>187</v>
      </c>
      <c r="B9" t="s">
        <v>188</v>
      </c>
    </row>
    <row r="10" spans="1:2" ht="12.75">
      <c r="A10" t="s">
        <v>190</v>
      </c>
      <c r="B10" t="s">
        <v>189</v>
      </c>
    </row>
    <row r="12" spans="1:2" ht="12.75">
      <c r="A12" t="s">
        <v>91</v>
      </c>
      <c r="B12" t="s">
        <v>192</v>
      </c>
    </row>
    <row r="13" spans="1:2" ht="12.75">
      <c r="A13" t="s">
        <v>93</v>
      </c>
      <c r="B13" t="s">
        <v>192</v>
      </c>
    </row>
    <row r="14" spans="1:2" ht="12.75">
      <c r="A14" t="s">
        <v>161</v>
      </c>
      <c r="B14" t="s">
        <v>191</v>
      </c>
    </row>
    <row r="16" spans="1:2" ht="12.75">
      <c r="A16" t="s">
        <v>162</v>
      </c>
      <c r="B16" s="43" t="s">
        <v>163</v>
      </c>
    </row>
    <row r="17" spans="1:2" ht="12.75">
      <c r="A17" t="s">
        <v>164</v>
      </c>
      <c r="B17" t="s">
        <v>165</v>
      </c>
    </row>
    <row r="18" spans="1:4" ht="12.75">
      <c r="A18" t="s">
        <v>147</v>
      </c>
      <c r="C18">
        <v>0.1666</v>
      </c>
      <c r="D18" t="s">
        <v>10</v>
      </c>
    </row>
    <row r="19" ht="12.75">
      <c r="A19" t="s">
        <v>197</v>
      </c>
    </row>
    <row r="22" spans="1:2" ht="12.75">
      <c r="A22" t="s">
        <v>166</v>
      </c>
      <c r="B22" s="43" t="s">
        <v>167</v>
      </c>
    </row>
    <row r="23" spans="1:4" ht="12.75">
      <c r="A23" t="s">
        <v>193</v>
      </c>
      <c r="B23" t="s">
        <v>138</v>
      </c>
      <c r="C23">
        <v>0.09523809523809523</v>
      </c>
      <c r="D23" t="s">
        <v>10</v>
      </c>
    </row>
    <row r="24" spans="1:2" ht="12.75">
      <c r="A24" t="s">
        <v>198</v>
      </c>
      <c r="B24" t="s">
        <v>199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3"/>
  <sheetViews>
    <sheetView workbookViewId="0" topLeftCell="A1">
      <selection activeCell="B48" sqref="B48"/>
    </sheetView>
  </sheetViews>
  <sheetFormatPr defaultColWidth="9.140625" defaultRowHeight="12.75"/>
  <cols>
    <col min="2" max="2" width="31.140625" style="0" customWidth="1"/>
    <col min="3" max="3" width="48.140625" style="0" customWidth="1"/>
  </cols>
  <sheetData>
    <row r="1" spans="5:6" ht="12.75">
      <c r="E1" t="s">
        <v>174</v>
      </c>
      <c r="F1" t="s">
        <v>181</v>
      </c>
    </row>
    <row r="3" spans="2:10" ht="12.75">
      <c r="B3" t="s">
        <v>92</v>
      </c>
      <c r="C3" t="s">
        <v>200</v>
      </c>
      <c r="D3">
        <v>1</v>
      </c>
      <c r="E3" t="s">
        <v>175</v>
      </c>
      <c r="J3">
        <v>230</v>
      </c>
    </row>
    <row r="4" spans="2:10" ht="12.75">
      <c r="B4" t="s">
        <v>91</v>
      </c>
      <c r="C4" t="s">
        <v>173</v>
      </c>
      <c r="D4">
        <v>1</v>
      </c>
      <c r="E4" t="s">
        <v>176</v>
      </c>
      <c r="J4">
        <v>200</v>
      </c>
    </row>
    <row r="5" spans="2:10" ht="12.75">
      <c r="B5" t="s">
        <v>93</v>
      </c>
      <c r="C5" t="s">
        <v>173</v>
      </c>
      <c r="D5">
        <v>1</v>
      </c>
      <c r="E5" t="s">
        <v>176</v>
      </c>
      <c r="J5">
        <v>200</v>
      </c>
    </row>
    <row r="6" spans="2:10" ht="12.75">
      <c r="B6" t="s">
        <v>94</v>
      </c>
      <c r="C6" t="s">
        <v>201</v>
      </c>
      <c r="D6">
        <v>1</v>
      </c>
      <c r="J6">
        <v>79</v>
      </c>
    </row>
    <row r="7" spans="2:10" ht="12.75">
      <c r="B7" t="s">
        <v>95</v>
      </c>
      <c r="C7" t="s">
        <v>180</v>
      </c>
      <c r="D7">
        <v>1</v>
      </c>
      <c r="E7" t="s">
        <v>177</v>
      </c>
      <c r="F7" t="s">
        <v>182</v>
      </c>
      <c r="J7">
        <v>54</v>
      </c>
    </row>
    <row r="8" spans="2:10" ht="12.75">
      <c r="B8" t="s">
        <v>96</v>
      </c>
      <c r="C8" t="s">
        <v>202</v>
      </c>
      <c r="D8">
        <v>1</v>
      </c>
      <c r="J8">
        <v>60</v>
      </c>
    </row>
    <row r="9" spans="2:10" ht="12.75">
      <c r="B9" t="s">
        <v>110</v>
      </c>
      <c r="C9" t="s">
        <v>183</v>
      </c>
      <c r="D9">
        <v>1</v>
      </c>
      <c r="E9" t="s">
        <v>177</v>
      </c>
      <c r="J9">
        <v>15</v>
      </c>
    </row>
    <row r="10" spans="2:10" ht="13.5" thickBot="1">
      <c r="B10" t="s">
        <v>111</v>
      </c>
      <c r="C10" t="s">
        <v>184</v>
      </c>
      <c r="D10">
        <v>1</v>
      </c>
      <c r="J10">
        <v>10</v>
      </c>
    </row>
    <row r="11" spans="2:10" ht="13.5" thickBot="1">
      <c r="B11" t="s">
        <v>185</v>
      </c>
      <c r="J11" s="31">
        <f>SUM(J3:J10)</f>
        <v>848</v>
      </c>
    </row>
    <row r="12" spans="2:10" ht="12.75">
      <c r="B12" t="s">
        <v>186</v>
      </c>
      <c r="J12" s="19"/>
    </row>
    <row r="13" ht="12.75">
      <c r="J13" s="19"/>
    </row>
    <row r="14" ht="12.75">
      <c r="J14" s="19"/>
    </row>
    <row r="15" spans="2:10" ht="12.75">
      <c r="B15" t="s">
        <v>97</v>
      </c>
      <c r="J15" s="29">
        <v>30</v>
      </c>
    </row>
    <row r="16" spans="2:10" ht="12.75">
      <c r="B16" t="s">
        <v>98</v>
      </c>
      <c r="J16" s="29">
        <v>28</v>
      </c>
    </row>
    <row r="17" spans="2:10" ht="12.75">
      <c r="B17" t="s">
        <v>99</v>
      </c>
      <c r="J17" s="29">
        <v>20</v>
      </c>
    </row>
    <row r="18" spans="2:10" ht="13.5" thickBot="1">
      <c r="B18" t="s">
        <v>100</v>
      </c>
      <c r="J18" s="29">
        <v>12</v>
      </c>
    </row>
    <row r="19" ht="13.5" thickBot="1">
      <c r="J19" s="31">
        <f>SUM(J15:J18)</f>
        <v>90</v>
      </c>
    </row>
    <row r="20" ht="12.75">
      <c r="J20" s="19"/>
    </row>
    <row r="21" ht="12.75">
      <c r="B21" s="30" t="s">
        <v>103</v>
      </c>
    </row>
    <row r="22" spans="2:10" ht="12.75">
      <c r="B22" t="s">
        <v>101</v>
      </c>
      <c r="J22">
        <v>20</v>
      </c>
    </row>
    <row r="23" spans="2:10" ht="12.75">
      <c r="B23" t="s">
        <v>102</v>
      </c>
      <c r="J23">
        <v>80</v>
      </c>
    </row>
    <row r="24" spans="2:10" ht="13.5" thickBot="1">
      <c r="B24" t="s">
        <v>112</v>
      </c>
      <c r="J24">
        <v>100</v>
      </c>
    </row>
    <row r="25" ht="13.5" thickBot="1">
      <c r="J25" s="31">
        <f>SUM(J22:J24)</f>
        <v>200</v>
      </c>
    </row>
    <row r="27" ht="12.75">
      <c r="B27" s="30" t="s">
        <v>104</v>
      </c>
    </row>
    <row r="28" spans="2:10" ht="12.75">
      <c r="B28" t="s">
        <v>105</v>
      </c>
      <c r="J28">
        <v>30</v>
      </c>
    </row>
    <row r="29" spans="2:10" ht="12.75">
      <c r="B29" t="s">
        <v>106</v>
      </c>
      <c r="J29">
        <v>60</v>
      </c>
    </row>
    <row r="30" spans="2:10" ht="12.75">
      <c r="B30" t="s">
        <v>152</v>
      </c>
      <c r="J30">
        <v>100</v>
      </c>
    </row>
    <row r="31" spans="2:10" ht="13.5" thickBot="1">
      <c r="B31" t="s">
        <v>153</v>
      </c>
      <c r="J31">
        <v>100</v>
      </c>
    </row>
    <row r="32" ht="13.5" thickBot="1">
      <c r="J32" s="31">
        <f>SUM(J28:J31)</f>
        <v>290</v>
      </c>
    </row>
    <row r="33" ht="12.75">
      <c r="B33" s="30" t="s">
        <v>107</v>
      </c>
    </row>
    <row r="34" spans="2:10" ht="12.75">
      <c r="B34" t="s">
        <v>108</v>
      </c>
      <c r="J34">
        <v>90</v>
      </c>
    </row>
    <row r="35" spans="2:10" ht="13.5" thickBot="1">
      <c r="B35" t="s">
        <v>109</v>
      </c>
      <c r="J35">
        <v>25</v>
      </c>
    </row>
    <row r="36" ht="13.5" thickBot="1">
      <c r="J36" s="31">
        <f>SUM(J34:J35)</f>
        <v>115</v>
      </c>
    </row>
    <row r="38" ht="13.5" thickBot="1"/>
    <row r="39" spans="2:10" ht="13.5" thickBot="1">
      <c r="B39" t="s">
        <v>113</v>
      </c>
      <c r="J39" s="32">
        <f>J11+J19+J25+J32+J36</f>
        <v>1543</v>
      </c>
    </row>
    <row r="40" ht="13.5" thickBot="1"/>
    <row r="41" spans="2:10" ht="13.5" thickBot="1">
      <c r="B41" t="s">
        <v>114</v>
      </c>
      <c r="C41" t="s">
        <v>115</v>
      </c>
      <c r="J41" s="31">
        <v>750</v>
      </c>
    </row>
    <row r="42" ht="13.5" thickBot="1"/>
    <row r="43" spans="2:10" ht="13.5" thickBot="1">
      <c r="B43" t="s">
        <v>154</v>
      </c>
      <c r="J43" s="31">
        <f>+J39+J41</f>
        <v>2293</v>
      </c>
    </row>
  </sheetData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2" sqref="E12"/>
    </sheetView>
  </sheetViews>
  <sheetFormatPr defaultColWidth="9.140625" defaultRowHeight="12.75"/>
  <sheetData>
    <row r="1" spans="1:5" ht="12.75">
      <c r="A1" t="s">
        <v>409</v>
      </c>
      <c r="E1" t="s">
        <v>416</v>
      </c>
    </row>
    <row r="3" spans="1:7" s="10" customFormat="1" ht="38.25">
      <c r="A3" s="10">
        <v>1</v>
      </c>
      <c r="B3" s="10" t="s">
        <v>410</v>
      </c>
      <c r="D3" s="154" t="s">
        <v>411</v>
      </c>
      <c r="E3" s="10" t="s">
        <v>412</v>
      </c>
      <c r="F3" s="10" t="s">
        <v>423</v>
      </c>
      <c r="G3" s="10" t="s">
        <v>424</v>
      </c>
    </row>
    <row r="5" spans="2:7" ht="12.75">
      <c r="B5" t="s">
        <v>413</v>
      </c>
      <c r="C5">
        <v>5</v>
      </c>
      <c r="D5">
        <v>15</v>
      </c>
      <c r="E5">
        <v>25</v>
      </c>
      <c r="F5">
        <v>35</v>
      </c>
      <c r="G5" t="s">
        <v>417</v>
      </c>
    </row>
    <row r="7" spans="2:7" ht="12.75">
      <c r="B7" t="s">
        <v>123</v>
      </c>
      <c r="C7" s="155">
        <v>19.5</v>
      </c>
      <c r="D7" s="155">
        <v>20.5</v>
      </c>
      <c r="E7" s="155">
        <v>21.5</v>
      </c>
      <c r="F7" s="155">
        <v>22.5</v>
      </c>
      <c r="G7" s="155">
        <v>24</v>
      </c>
    </row>
    <row r="8" spans="2:7" ht="12.75">
      <c r="B8" t="s">
        <v>375</v>
      </c>
      <c r="C8" s="155">
        <v>93</v>
      </c>
      <c r="D8" s="155">
        <v>99</v>
      </c>
      <c r="E8" s="155">
        <v>106</v>
      </c>
      <c r="F8" s="155">
        <v>111</v>
      </c>
      <c r="G8" s="155">
        <v>123</v>
      </c>
    </row>
    <row r="9" spans="2:7" ht="12.75">
      <c r="B9" t="s">
        <v>126</v>
      </c>
      <c r="C9">
        <f>C8/C7</f>
        <v>4.769230769230769</v>
      </c>
      <c r="D9">
        <f>D8/D7</f>
        <v>4.829268292682927</v>
      </c>
      <c r="E9">
        <f>E8/E7</f>
        <v>4.930232558139535</v>
      </c>
      <c r="F9">
        <f>F8/F7</f>
        <v>4.933333333333334</v>
      </c>
      <c r="G9">
        <f>G8/G7</f>
        <v>5.125</v>
      </c>
    </row>
    <row r="10" spans="3:7" ht="12.75">
      <c r="C10">
        <v>0</v>
      </c>
      <c r="D10" s="153">
        <f>(D9-$C$9)/$C$9</f>
        <v>0.012588512981903995</v>
      </c>
      <c r="E10" s="153">
        <f>(E9-$C$9)/$C$9</f>
        <v>0.03375843960990246</v>
      </c>
      <c r="F10" s="153">
        <f>(F9-$C$9)/$C$9</f>
        <v>0.0344086021505377</v>
      </c>
      <c r="G10" s="153">
        <f>(G9-$C$9)/$C$9</f>
        <v>0.0745967741935484</v>
      </c>
    </row>
    <row r="12" spans="1:7" ht="12.75">
      <c r="A12" t="s">
        <v>414</v>
      </c>
      <c r="B12" t="s">
        <v>127</v>
      </c>
      <c r="C12">
        <v>62</v>
      </c>
      <c r="D12">
        <v>72</v>
      </c>
      <c r="E12">
        <v>80</v>
      </c>
      <c r="F12">
        <v>92</v>
      </c>
      <c r="G12">
        <v>118</v>
      </c>
    </row>
    <row r="14" spans="3:7" ht="12.75">
      <c r="C14" s="155">
        <v>0</v>
      </c>
      <c r="D14" s="155">
        <v>5</v>
      </c>
      <c r="E14" s="155">
        <v>10</v>
      </c>
      <c r="F14" s="155">
        <v>15</v>
      </c>
      <c r="G14" s="155">
        <v>28</v>
      </c>
    </row>
    <row r="15" spans="1:8" ht="12.75">
      <c r="A15" t="s">
        <v>415</v>
      </c>
      <c r="C15" s="79">
        <f>C14/100*2000</f>
        <v>0</v>
      </c>
      <c r="D15" s="79">
        <f>D14/D8*2000</f>
        <v>101.01010101010101</v>
      </c>
      <c r="E15" s="79">
        <f>E14/E8*2000</f>
        <v>188.67924528301887</v>
      </c>
      <c r="F15" s="79">
        <f>F14/F8*2000</f>
        <v>270.27027027027026</v>
      </c>
      <c r="G15" s="79">
        <f>G14/G8*2000</f>
        <v>455.2845528455284</v>
      </c>
      <c r="H15" t="s">
        <v>128</v>
      </c>
    </row>
    <row r="17" ht="12.75">
      <c r="A17" t="s">
        <v>418</v>
      </c>
    </row>
    <row r="18" spans="1:7" ht="12.75">
      <c r="A18" t="s">
        <v>419</v>
      </c>
      <c r="C18">
        <v>40</v>
      </c>
      <c r="D18">
        <v>40</v>
      </c>
      <c r="E18">
        <v>40</v>
      </c>
      <c r="F18">
        <v>40</v>
      </c>
      <c r="G18">
        <v>40</v>
      </c>
    </row>
    <row r="19" spans="1:7" ht="12.75">
      <c r="A19" t="s">
        <v>420</v>
      </c>
      <c r="C19">
        <v>40</v>
      </c>
      <c r="D19">
        <v>30</v>
      </c>
      <c r="E19">
        <v>20</v>
      </c>
      <c r="F19">
        <v>10</v>
      </c>
      <c r="G19">
        <v>0</v>
      </c>
    </row>
    <row r="22" spans="1:7" ht="12.75">
      <c r="A22" t="s">
        <v>421</v>
      </c>
      <c r="C22">
        <v>5</v>
      </c>
      <c r="D22">
        <v>5</v>
      </c>
      <c r="E22">
        <v>5</v>
      </c>
      <c r="F22">
        <v>5</v>
      </c>
      <c r="G22">
        <v>5</v>
      </c>
    </row>
    <row r="23" spans="1:7" ht="12.75">
      <c r="A23" t="s">
        <v>422</v>
      </c>
      <c r="C23">
        <v>5</v>
      </c>
      <c r="D23">
        <v>15</v>
      </c>
      <c r="E23">
        <v>25</v>
      </c>
      <c r="F23">
        <v>35</v>
      </c>
      <c r="G23">
        <v>62</v>
      </c>
    </row>
    <row r="24" ht="12.75">
      <c r="G24" t="s">
        <v>425</v>
      </c>
    </row>
    <row r="25" spans="1:7" ht="12.75">
      <c r="A25" t="s">
        <v>46</v>
      </c>
      <c r="C25">
        <f>C18-C19</f>
        <v>0</v>
      </c>
      <c r="D25">
        <f>D18-D19</f>
        <v>10</v>
      </c>
      <c r="E25">
        <f>E18-E19</f>
        <v>20</v>
      </c>
      <c r="F25">
        <f>F18-F19</f>
        <v>30</v>
      </c>
      <c r="G25">
        <f>G18-G19</f>
        <v>40</v>
      </c>
    </row>
    <row r="26" spans="1:7" ht="12.75">
      <c r="A26" t="s">
        <v>46</v>
      </c>
      <c r="C26">
        <f>C23-C22</f>
        <v>0</v>
      </c>
      <c r="D26">
        <f>D23-D22</f>
        <v>10</v>
      </c>
      <c r="E26">
        <f>E23-E22</f>
        <v>20</v>
      </c>
      <c r="F26">
        <f>F23-F22</f>
        <v>30</v>
      </c>
      <c r="G26">
        <f>G23-G22</f>
        <v>57</v>
      </c>
    </row>
    <row r="29" spans="1:4" ht="12.75">
      <c r="A29">
        <v>1000</v>
      </c>
      <c r="B29" t="s">
        <v>128</v>
      </c>
      <c r="C29">
        <v>1</v>
      </c>
      <c r="D29" t="s">
        <v>1</v>
      </c>
    </row>
    <row r="30" spans="1:3" ht="12.75">
      <c r="A30">
        <v>100</v>
      </c>
      <c r="C30">
        <v>0.1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43">
      <selection activeCell="O66" sqref="O66"/>
    </sheetView>
  </sheetViews>
  <sheetFormatPr defaultColWidth="9.140625" defaultRowHeight="12.75"/>
  <cols>
    <col min="2" max="2" width="24.28125" style="0" customWidth="1"/>
    <col min="4" max="4" width="7.8515625" style="0" customWidth="1"/>
    <col min="5" max="5" width="7.7109375" style="0" customWidth="1"/>
    <col min="7" max="7" width="5.8515625" style="0" customWidth="1"/>
    <col min="9" max="9" width="6.28125" style="0" customWidth="1"/>
    <col min="10" max="10" width="8.140625" style="0" customWidth="1"/>
    <col min="11" max="11" width="6.140625" style="0" customWidth="1"/>
    <col min="12" max="12" width="7.421875" style="0" customWidth="1"/>
  </cols>
  <sheetData>
    <row r="1" spans="2:16" ht="12.75">
      <c r="B1" t="s">
        <v>220</v>
      </c>
      <c r="M1" s="25" t="s">
        <v>271</v>
      </c>
      <c r="N1" s="15"/>
      <c r="O1" s="15"/>
      <c r="P1" s="16"/>
    </row>
    <row r="2" spans="2:16" ht="12.75">
      <c r="B2" t="s">
        <v>116</v>
      </c>
      <c r="C2">
        <v>2</v>
      </c>
      <c r="D2" t="s">
        <v>31</v>
      </c>
      <c r="M2" s="26" t="s">
        <v>265</v>
      </c>
      <c r="N2" s="19" t="s">
        <v>266</v>
      </c>
      <c r="O2" s="19">
        <v>23.88</v>
      </c>
      <c r="P2" s="72">
        <f>O2/23.88</f>
        <v>1</v>
      </c>
    </row>
    <row r="3" spans="2:16" ht="12.75">
      <c r="B3" t="s">
        <v>131</v>
      </c>
      <c r="C3">
        <v>1.8</v>
      </c>
      <c r="D3" t="s">
        <v>31</v>
      </c>
      <c r="M3" s="26"/>
      <c r="N3" s="19" t="s">
        <v>267</v>
      </c>
      <c r="O3" s="19">
        <v>22.72</v>
      </c>
      <c r="P3" s="72">
        <f>O3/23.88</f>
        <v>0.9514237855946398</v>
      </c>
    </row>
    <row r="4" spans="13:16" ht="12.75">
      <c r="M4" s="26"/>
      <c r="N4" s="19" t="s">
        <v>268</v>
      </c>
      <c r="O4" s="19">
        <v>21.88</v>
      </c>
      <c r="P4" s="72">
        <f>O4/23.88</f>
        <v>0.916247906197655</v>
      </c>
    </row>
    <row r="5" spans="2:16" ht="12.75">
      <c r="B5" t="s">
        <v>132</v>
      </c>
      <c r="C5">
        <v>5</v>
      </c>
      <c r="D5" t="s">
        <v>133</v>
      </c>
      <c r="E5" t="s">
        <v>219</v>
      </c>
      <c r="M5" s="26" t="s">
        <v>270</v>
      </c>
      <c r="N5" s="19" t="s">
        <v>266</v>
      </c>
      <c r="O5" s="19">
        <v>37.17</v>
      </c>
      <c r="P5" s="72">
        <f>O5/23.88</f>
        <v>1.556532663316583</v>
      </c>
    </row>
    <row r="6" spans="2:16" ht="13.5" thickBot="1">
      <c r="B6" t="s">
        <v>134</v>
      </c>
      <c r="C6">
        <v>4</v>
      </c>
      <c r="D6" t="s">
        <v>135</v>
      </c>
      <c r="M6" s="73" t="s">
        <v>269</v>
      </c>
      <c r="N6" s="23" t="s">
        <v>266</v>
      </c>
      <c r="O6" s="23">
        <v>29.45</v>
      </c>
      <c r="P6" s="74">
        <f>O6/23.88</f>
        <v>1.233249581239531</v>
      </c>
    </row>
    <row r="7" spans="2:13" ht="12.75">
      <c r="B7" t="s">
        <v>136</v>
      </c>
      <c r="C7">
        <v>2</v>
      </c>
      <c r="D7" t="s">
        <v>133</v>
      </c>
      <c r="M7" s="78" t="s">
        <v>274</v>
      </c>
    </row>
    <row r="8" spans="3:4" ht="12.75">
      <c r="C8">
        <v>2</v>
      </c>
      <c r="D8" t="s">
        <v>137</v>
      </c>
    </row>
    <row r="9" spans="13:16" ht="12.75">
      <c r="M9" t="s">
        <v>275</v>
      </c>
      <c r="P9">
        <v>4.2</v>
      </c>
    </row>
    <row r="10" spans="2:16" ht="15.75">
      <c r="B10" s="75" t="s">
        <v>217</v>
      </c>
      <c r="M10" t="s">
        <v>276</v>
      </c>
      <c r="P10">
        <v>3.8</v>
      </c>
    </row>
    <row r="11" spans="2:10" ht="12.75">
      <c r="B11" t="s">
        <v>139</v>
      </c>
      <c r="C11">
        <v>1.8</v>
      </c>
      <c r="D11" t="s">
        <v>31</v>
      </c>
      <c r="J11">
        <v>24</v>
      </c>
    </row>
    <row r="12" spans="2:10" ht="12.75">
      <c r="B12" t="s">
        <v>140</v>
      </c>
      <c r="C12">
        <v>3.8</v>
      </c>
      <c r="D12" t="s">
        <v>141</v>
      </c>
      <c r="J12">
        <v>3.8</v>
      </c>
    </row>
    <row r="13" spans="2:10" ht="12.75">
      <c r="B13" t="s">
        <v>142</v>
      </c>
      <c r="C13">
        <v>3</v>
      </c>
      <c r="J13">
        <v>3</v>
      </c>
    </row>
    <row r="14" spans="2:10" ht="12.75">
      <c r="B14" t="s">
        <v>138</v>
      </c>
      <c r="C14" s="8">
        <f>C11/C12/C13</f>
        <v>0.15789473684210528</v>
      </c>
      <c r="D14" t="s">
        <v>10</v>
      </c>
      <c r="E14" t="s">
        <v>260</v>
      </c>
      <c r="F14" t="s">
        <v>44</v>
      </c>
      <c r="J14">
        <f>J11/J12/J13</f>
        <v>2.1052631578947367</v>
      </c>
    </row>
    <row r="15" spans="2:6" ht="12.75">
      <c r="B15" t="s">
        <v>138</v>
      </c>
      <c r="C15" s="6">
        <f>C14*3.6</f>
        <v>0.568421052631579</v>
      </c>
      <c r="D15" t="s">
        <v>17</v>
      </c>
      <c r="E15" s="79">
        <f>C15*1000</f>
        <v>568.4210526315791</v>
      </c>
      <c r="F15" s="6">
        <f>E15/60</f>
        <v>9.473684210526319</v>
      </c>
    </row>
    <row r="16" spans="2:6" ht="12.75">
      <c r="B16" t="s">
        <v>16</v>
      </c>
      <c r="C16" s="6">
        <f>C15/2</f>
        <v>0.2842105263157895</v>
      </c>
      <c r="D16" t="s">
        <v>17</v>
      </c>
      <c r="E16" s="79">
        <f>C16*1000</f>
        <v>284.21052631578954</v>
      </c>
      <c r="F16" s="6">
        <f>E16/60</f>
        <v>4.736842105263159</v>
      </c>
    </row>
    <row r="17" spans="1:17" ht="12.75">
      <c r="A17" s="26"/>
      <c r="Q17" t="s">
        <v>233</v>
      </c>
    </row>
    <row r="18" spans="2:17" ht="12.75">
      <c r="B18" s="37" t="s">
        <v>143</v>
      </c>
      <c r="C18" s="38">
        <v>100</v>
      </c>
      <c r="D18" s="19" t="s">
        <v>6</v>
      </c>
      <c r="E18" s="19" t="s">
        <v>144</v>
      </c>
      <c r="F18" s="38">
        <v>25</v>
      </c>
      <c r="G18" s="19" t="s">
        <v>145</v>
      </c>
      <c r="H18" s="19" t="s">
        <v>146</v>
      </c>
      <c r="I18" s="19"/>
      <c r="J18" s="38">
        <v>2.3</v>
      </c>
      <c r="K18" s="19" t="s">
        <v>145</v>
      </c>
      <c r="L18" s="19" t="s">
        <v>147</v>
      </c>
      <c r="M18" s="39">
        <v>5</v>
      </c>
      <c r="N18" s="29" t="s">
        <v>148</v>
      </c>
      <c r="O18" s="40">
        <v>6381.559293588451</v>
      </c>
      <c r="P18" s="29" t="s">
        <v>149</v>
      </c>
      <c r="Q18" s="40">
        <f>O18*1.25</f>
        <v>7976.949116985563</v>
      </c>
    </row>
    <row r="19" spans="15:17" ht="12.75">
      <c r="O19" s="41">
        <v>0.0638155929358845</v>
      </c>
      <c r="P19" s="19" t="s">
        <v>150</v>
      </c>
      <c r="Q19" s="41">
        <f>O19*1.25</f>
        <v>0.07976949116985563</v>
      </c>
    </row>
    <row r="20" spans="2:17" ht="13.5" thickBot="1">
      <c r="B20" s="30" t="s">
        <v>277</v>
      </c>
      <c r="O20" s="42">
        <v>0.638155929358845</v>
      </c>
      <c r="P20" s="23" t="s">
        <v>151</v>
      </c>
      <c r="Q20" s="77">
        <f>O20*1.25</f>
        <v>0.7976949116985563</v>
      </c>
    </row>
    <row r="21" spans="15:17" ht="12.75">
      <c r="O21">
        <v>6.381559293588451</v>
      </c>
      <c r="P21" t="s">
        <v>218</v>
      </c>
      <c r="Q21">
        <f>O21*1.25</f>
        <v>7.976949116985564</v>
      </c>
    </row>
    <row r="23" spans="2:17" ht="15.75">
      <c r="B23" s="75" t="s">
        <v>273</v>
      </c>
      <c r="Q23" t="s">
        <v>233</v>
      </c>
    </row>
    <row r="24" spans="2:17" ht="12.75">
      <c r="B24" s="37" t="s">
        <v>143</v>
      </c>
      <c r="C24" s="38">
        <v>150</v>
      </c>
      <c r="D24" s="19" t="s">
        <v>6</v>
      </c>
      <c r="E24" s="19" t="s">
        <v>144</v>
      </c>
      <c r="F24" s="38">
        <v>25</v>
      </c>
      <c r="G24" s="19" t="s">
        <v>145</v>
      </c>
      <c r="H24" s="19" t="s">
        <v>146</v>
      </c>
      <c r="I24" s="19"/>
      <c r="J24" s="38">
        <v>2.3</v>
      </c>
      <c r="K24" s="19" t="s">
        <v>145</v>
      </c>
      <c r="L24" s="19" t="s">
        <v>147</v>
      </c>
      <c r="M24" s="39">
        <v>5</v>
      </c>
      <c r="N24" s="29" t="s">
        <v>148</v>
      </c>
      <c r="O24" s="40">
        <v>9572.338940382677</v>
      </c>
      <c r="P24" s="29" t="s">
        <v>149</v>
      </c>
      <c r="Q24" s="40">
        <f>O24*1.25</f>
        <v>11965.423675478345</v>
      </c>
    </row>
    <row r="25" spans="15:17" ht="12.75">
      <c r="O25" s="41">
        <v>0.09572338940382677</v>
      </c>
      <c r="P25" s="19" t="s">
        <v>150</v>
      </c>
      <c r="Q25" s="41">
        <f>O25*1.25</f>
        <v>0.11965423675478346</v>
      </c>
    </row>
    <row r="26" spans="2:17" ht="13.5" thickBot="1">
      <c r="B26" s="30" t="s">
        <v>278</v>
      </c>
      <c r="O26" s="42">
        <v>0.9572338940382676</v>
      </c>
      <c r="P26" s="23" t="s">
        <v>151</v>
      </c>
      <c r="Q26" s="77">
        <f>O26*1.25</f>
        <v>1.1965423675478346</v>
      </c>
    </row>
    <row r="27" spans="15:17" ht="13.5" thickBot="1">
      <c r="O27" s="49">
        <v>9.572338940382677</v>
      </c>
      <c r="P27" t="s">
        <v>218</v>
      </c>
      <c r="Q27">
        <f>O27*1.25</f>
        <v>11.965423675478347</v>
      </c>
    </row>
    <row r="28" ht="13.5" thickBot="1">
      <c r="O28" s="76"/>
    </row>
    <row r="29" spans="2:17" ht="15.75">
      <c r="B29" s="80" t="s">
        <v>272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</row>
    <row r="30" spans="2:17" ht="12.75">
      <c r="B30" s="26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2:17" ht="12.75">
      <c r="B31" s="26" t="s">
        <v>139</v>
      </c>
      <c r="C31" s="19">
        <v>1.8</v>
      </c>
      <c r="D31" s="19" t="s">
        <v>31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2:17" ht="12.75">
      <c r="B32" s="26" t="s">
        <v>140</v>
      </c>
      <c r="C32" s="19">
        <v>3.8</v>
      </c>
      <c r="D32" s="19" t="s">
        <v>141</v>
      </c>
      <c r="E32" s="19"/>
      <c r="F32" s="19" t="s">
        <v>282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2:17" ht="12.75">
      <c r="B33" s="26" t="s">
        <v>142</v>
      </c>
      <c r="C33" s="19">
        <v>3</v>
      </c>
      <c r="D33" s="19" t="s">
        <v>283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2:17" ht="12.75">
      <c r="B34" s="26" t="s">
        <v>138</v>
      </c>
      <c r="C34" s="81">
        <f>C31/C32/C33</f>
        <v>0.15789473684210528</v>
      </c>
      <c r="D34" s="19" t="s">
        <v>10</v>
      </c>
      <c r="E34" s="19" t="s">
        <v>10</v>
      </c>
      <c r="F34" s="19" t="s">
        <v>44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2:17" ht="12.75">
      <c r="B35" s="26" t="s">
        <v>138</v>
      </c>
      <c r="C35" s="76">
        <f>C34*3.6</f>
        <v>0.568421052631579</v>
      </c>
      <c r="D35" s="19" t="s">
        <v>17</v>
      </c>
      <c r="E35" s="82">
        <f>C35*1000</f>
        <v>568.4210526315791</v>
      </c>
      <c r="F35" s="76">
        <f>E35/60</f>
        <v>9.473684210526319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</row>
    <row r="36" spans="2:17" ht="12.75">
      <c r="B36" s="26" t="s">
        <v>16</v>
      </c>
      <c r="C36" s="76">
        <f>C35/3</f>
        <v>0.18947368421052635</v>
      </c>
      <c r="D36" s="19" t="s">
        <v>17</v>
      </c>
      <c r="E36" s="82">
        <f>C36*1000</f>
        <v>189.47368421052636</v>
      </c>
      <c r="F36" s="76">
        <f>E36/60</f>
        <v>3.1578947368421058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2:17" ht="12.75">
      <c r="B37" s="2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t="s">
        <v>233</v>
      </c>
    </row>
    <row r="38" spans="2:17" ht="12.75">
      <c r="B38" s="83" t="s">
        <v>143</v>
      </c>
      <c r="C38" s="38">
        <v>100</v>
      </c>
      <c r="D38" s="19" t="s">
        <v>6</v>
      </c>
      <c r="E38" s="19" t="s">
        <v>144</v>
      </c>
      <c r="F38" s="38">
        <v>25</v>
      </c>
      <c r="G38" s="19" t="s">
        <v>145</v>
      </c>
      <c r="H38" s="19" t="s">
        <v>146</v>
      </c>
      <c r="I38" s="19"/>
      <c r="J38" s="38">
        <v>2.3</v>
      </c>
      <c r="K38" s="19" t="s">
        <v>145</v>
      </c>
      <c r="L38" s="19" t="s">
        <v>147</v>
      </c>
      <c r="M38" s="39">
        <v>3.333</v>
      </c>
      <c r="N38" s="29" t="s">
        <v>148</v>
      </c>
      <c r="O38" s="29">
        <v>3164.55303578753</v>
      </c>
      <c r="P38" s="19" t="s">
        <v>149</v>
      </c>
      <c r="Q38" s="84">
        <f>O38*1.25</f>
        <v>3955.6912947344126</v>
      </c>
    </row>
    <row r="39" spans="2:17" ht="12.75">
      <c r="B39" s="2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41">
        <v>0.0316455303578753</v>
      </c>
      <c r="P39" s="19" t="s">
        <v>150</v>
      </c>
      <c r="Q39" s="85">
        <f>O39*1.25</f>
        <v>0.03955691294734412</v>
      </c>
    </row>
    <row r="40" spans="2:17" ht="13.5" thickBot="1">
      <c r="B40" s="86" t="s">
        <v>281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42">
        <v>0.31645530357875296</v>
      </c>
      <c r="P40" s="23" t="s">
        <v>151</v>
      </c>
      <c r="Q40" s="87">
        <f>O40*1.25</f>
        <v>0.3955691294734412</v>
      </c>
    </row>
    <row r="41" spans="2:17" ht="13.5" thickBot="1">
      <c r="B41" s="7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3.1645530357875296</v>
      </c>
      <c r="P41" s="23" t="s">
        <v>218</v>
      </c>
      <c r="Q41" s="24">
        <f>O41*1.25</f>
        <v>3.955691294734412</v>
      </c>
    </row>
    <row r="43" ht="15.75">
      <c r="B43" s="75" t="s">
        <v>279</v>
      </c>
    </row>
    <row r="44" ht="12.75">
      <c r="Q44" t="s">
        <v>233</v>
      </c>
    </row>
    <row r="45" spans="1:17" ht="12.75">
      <c r="A45" s="26"/>
      <c r="B45" s="37" t="s">
        <v>143</v>
      </c>
      <c r="C45" s="38">
        <v>250</v>
      </c>
      <c r="D45" s="19" t="s">
        <v>6</v>
      </c>
      <c r="E45" s="19" t="s">
        <v>144</v>
      </c>
      <c r="F45" s="38">
        <v>32</v>
      </c>
      <c r="G45" s="19" t="s">
        <v>145</v>
      </c>
      <c r="H45" s="19" t="s">
        <v>146</v>
      </c>
      <c r="I45" s="19"/>
      <c r="J45" s="38">
        <v>3</v>
      </c>
      <c r="K45" s="19" t="s">
        <v>145</v>
      </c>
      <c r="L45" s="19" t="s">
        <v>147</v>
      </c>
      <c r="M45" s="39">
        <v>10</v>
      </c>
      <c r="N45" s="29" t="s">
        <v>148</v>
      </c>
      <c r="O45" s="40">
        <v>16668.861011968722</v>
      </c>
      <c r="P45" s="29" t="s">
        <v>149</v>
      </c>
      <c r="Q45" s="40">
        <f>O45*1.25</f>
        <v>20836.076264960902</v>
      </c>
    </row>
    <row r="46" spans="15:17" ht="12.75">
      <c r="O46" s="41">
        <v>0.16668861011968722</v>
      </c>
      <c r="P46" s="19" t="s">
        <v>150</v>
      </c>
      <c r="Q46" s="41">
        <f>O46*1.25</f>
        <v>0.208360762649609</v>
      </c>
    </row>
    <row r="47" spans="2:17" ht="13.5" thickBot="1">
      <c r="B47" s="30" t="s">
        <v>280</v>
      </c>
      <c r="O47" s="42">
        <v>1.666886101196872</v>
      </c>
      <c r="P47" s="23" t="s">
        <v>151</v>
      </c>
      <c r="Q47" s="77">
        <f>O47*1.25</f>
        <v>2.0836076264960903</v>
      </c>
    </row>
    <row r="48" spans="15:17" ht="13.5" thickBot="1">
      <c r="O48" s="49">
        <v>16.668861011968723</v>
      </c>
      <c r="P48" t="s">
        <v>218</v>
      </c>
      <c r="Q48">
        <f>O48*1.25</f>
        <v>20.8360762649609</v>
      </c>
    </row>
    <row r="49" ht="13.5" thickBot="1"/>
    <row r="50" spans="2:8" ht="51">
      <c r="B50" t="s">
        <v>300</v>
      </c>
      <c r="C50" s="88" t="s">
        <v>299</v>
      </c>
      <c r="D50" s="89"/>
      <c r="E50" s="89"/>
      <c r="F50" s="89" t="s">
        <v>285</v>
      </c>
      <c r="G50" s="89" t="s">
        <v>286</v>
      </c>
      <c r="H50" s="90" t="s">
        <v>287</v>
      </c>
    </row>
    <row r="51" spans="3:8" ht="12.75">
      <c r="C51" s="26" t="s">
        <v>288</v>
      </c>
      <c r="D51" s="91" t="s">
        <v>289</v>
      </c>
      <c r="E51" s="91">
        <v>20.25</v>
      </c>
      <c r="F51" s="92">
        <f>3.142*(E51/2)*(E51/2)/1000</f>
        <v>0.32210409375</v>
      </c>
      <c r="G51" s="93">
        <v>300</v>
      </c>
      <c r="H51" s="94">
        <f>F51*G51</f>
        <v>96.63122812499999</v>
      </c>
    </row>
    <row r="52" spans="3:8" ht="12.75">
      <c r="C52" s="26" t="s">
        <v>290</v>
      </c>
      <c r="D52" s="91" t="s">
        <v>291</v>
      </c>
      <c r="E52" s="91">
        <v>25.75</v>
      </c>
      <c r="F52" s="92">
        <f>3.142*(E52/2)*(E52/2)/1000</f>
        <v>0.5208355937499999</v>
      </c>
      <c r="G52" s="93"/>
      <c r="H52" s="94">
        <f>F52*G52</f>
        <v>0</v>
      </c>
    </row>
    <row r="53" spans="3:8" ht="12.75">
      <c r="C53" s="26"/>
      <c r="D53" s="91" t="s">
        <v>292</v>
      </c>
      <c r="E53" s="91">
        <v>32</v>
      </c>
      <c r="F53" s="92">
        <f>3.142*(E53/2)*(E53/2)/1000</f>
        <v>0.804352</v>
      </c>
      <c r="G53" s="93"/>
      <c r="H53" s="94">
        <f>F53*G53</f>
        <v>0</v>
      </c>
    </row>
    <row r="54" spans="3:8" ht="12.75">
      <c r="C54" s="26"/>
      <c r="D54" s="91" t="s">
        <v>293</v>
      </c>
      <c r="E54" s="91">
        <v>40</v>
      </c>
      <c r="F54" s="92">
        <f>3.142*(E54/2)*(E54/2)/1000</f>
        <v>1.2568</v>
      </c>
      <c r="G54" s="93"/>
      <c r="H54" s="94">
        <f>F54*G54</f>
        <v>0</v>
      </c>
    </row>
    <row r="55" spans="3:8" ht="12.75">
      <c r="C55" s="26"/>
      <c r="D55" s="91" t="s">
        <v>294</v>
      </c>
      <c r="E55" s="91">
        <v>50</v>
      </c>
      <c r="F55" s="92">
        <f>3.142*(E55/2)*(E55/2)/1000</f>
        <v>1.96375</v>
      </c>
      <c r="G55" s="93"/>
      <c r="H55" s="94">
        <f>F55*G55</f>
        <v>0</v>
      </c>
    </row>
    <row r="56" spans="3:8" ht="12.75">
      <c r="C56" s="26"/>
      <c r="D56" s="19" t="s">
        <v>295</v>
      </c>
      <c r="E56" s="19"/>
      <c r="F56" s="19"/>
      <c r="G56" s="19"/>
      <c r="H56" s="95">
        <v>6</v>
      </c>
    </row>
    <row r="57" spans="3:8" ht="13.5" thickBot="1">
      <c r="C57" s="26"/>
      <c r="D57" s="19"/>
      <c r="E57" s="19"/>
      <c r="F57" s="19"/>
      <c r="G57" s="19"/>
      <c r="H57" s="20"/>
    </row>
    <row r="58" spans="3:8" ht="13.5" thickBot="1">
      <c r="C58" s="26"/>
      <c r="D58" s="19"/>
      <c r="E58" s="19"/>
      <c r="F58" s="19"/>
      <c r="G58" s="96" t="s">
        <v>296</v>
      </c>
      <c r="H58" s="97">
        <f>SUM(H51:H57)</f>
        <v>102.63122812499999</v>
      </c>
    </row>
    <row r="59" spans="3:8" ht="13.5" thickBot="1">
      <c r="C59" s="26"/>
      <c r="D59" s="19"/>
      <c r="E59" s="19"/>
      <c r="F59" s="19" t="s">
        <v>297</v>
      </c>
      <c r="G59" s="19"/>
      <c r="H59" s="72">
        <v>0.2</v>
      </c>
    </row>
    <row r="60" spans="3:8" ht="13.5" thickBot="1">
      <c r="C60" s="73"/>
      <c r="D60" s="23"/>
      <c r="E60" s="23"/>
      <c r="F60" s="23"/>
      <c r="G60" s="96" t="s">
        <v>298</v>
      </c>
      <c r="H60" s="97">
        <f>H58*H59</f>
        <v>20.526245625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B26" sqref="B26"/>
    </sheetView>
  </sheetViews>
  <sheetFormatPr defaultColWidth="9.140625" defaultRowHeight="12.75"/>
  <sheetData>
    <row r="1" ht="12.75">
      <c r="A1" t="s">
        <v>373</v>
      </c>
    </row>
    <row r="2" ht="12.75">
      <c r="A2" s="30" t="s">
        <v>93</v>
      </c>
    </row>
    <row r="3" spans="1:5" ht="12.75">
      <c r="A3" t="s">
        <v>375</v>
      </c>
      <c r="B3" t="s">
        <v>374</v>
      </c>
      <c r="D3" s="156" t="s">
        <v>269</v>
      </c>
      <c r="E3" s="156"/>
    </row>
    <row r="4" spans="4:10" ht="12.75">
      <c r="D4" t="s">
        <v>376</v>
      </c>
      <c r="E4" t="s">
        <v>377</v>
      </c>
      <c r="F4" t="s">
        <v>378</v>
      </c>
      <c r="G4" t="s">
        <v>380</v>
      </c>
      <c r="I4" t="s">
        <v>383</v>
      </c>
      <c r="J4" t="s">
        <v>384</v>
      </c>
    </row>
    <row r="5" spans="1:9" ht="13.5" thickBot="1">
      <c r="A5" t="s">
        <v>31</v>
      </c>
      <c r="B5" t="s">
        <v>127</v>
      </c>
      <c r="D5" t="s">
        <v>127</v>
      </c>
      <c r="E5" t="s">
        <v>127</v>
      </c>
      <c r="F5" t="s">
        <v>379</v>
      </c>
      <c r="G5" t="s">
        <v>381</v>
      </c>
      <c r="H5" t="s">
        <v>382</v>
      </c>
      <c r="I5" t="s">
        <v>127</v>
      </c>
    </row>
    <row r="6" spans="1:10" ht="12.75">
      <c r="A6">
        <v>1.7</v>
      </c>
      <c r="B6">
        <v>40</v>
      </c>
      <c r="D6">
        <v>5</v>
      </c>
      <c r="E6">
        <v>1</v>
      </c>
      <c r="F6">
        <v>0.109</v>
      </c>
      <c r="G6">
        <v>10</v>
      </c>
      <c r="H6">
        <v>3.65</v>
      </c>
      <c r="I6">
        <v>-1.4</v>
      </c>
      <c r="J6" s="150">
        <f>E6-I6</f>
        <v>2.4</v>
      </c>
    </row>
    <row r="7" spans="1:10" ht="12.75">
      <c r="A7">
        <v>1.7</v>
      </c>
      <c r="B7">
        <v>40</v>
      </c>
      <c r="D7">
        <v>5</v>
      </c>
      <c r="E7">
        <v>1</v>
      </c>
      <c r="F7">
        <v>0.109</v>
      </c>
      <c r="G7">
        <v>14</v>
      </c>
      <c r="H7">
        <v>2.12</v>
      </c>
      <c r="I7">
        <v>-1</v>
      </c>
      <c r="J7" s="151">
        <f>E7-I7</f>
        <v>2</v>
      </c>
    </row>
    <row r="8" spans="1:10" ht="13.5" thickBot="1">
      <c r="A8">
        <v>1.7</v>
      </c>
      <c r="B8">
        <v>40</v>
      </c>
      <c r="D8">
        <v>5</v>
      </c>
      <c r="E8">
        <v>1</v>
      </c>
      <c r="F8">
        <v>0.109</v>
      </c>
      <c r="G8">
        <v>20</v>
      </c>
      <c r="H8">
        <v>1.22</v>
      </c>
      <c r="I8">
        <v>-0.8</v>
      </c>
      <c r="J8" s="152">
        <f>E8-I8</f>
        <v>1.8</v>
      </c>
    </row>
    <row r="10" ht="12.75">
      <c r="A10" s="30" t="s">
        <v>91</v>
      </c>
    </row>
    <row r="11" spans="1:5" ht="12.75">
      <c r="A11" t="s">
        <v>375</v>
      </c>
      <c r="B11" t="s">
        <v>385</v>
      </c>
      <c r="C11" t="s">
        <v>386</v>
      </c>
      <c r="D11" s="33" t="s">
        <v>387</v>
      </c>
      <c r="E11" s="33"/>
    </row>
    <row r="12" spans="4:10" ht="12.75">
      <c r="D12" t="s">
        <v>376</v>
      </c>
      <c r="E12" t="s">
        <v>377</v>
      </c>
      <c r="F12" t="s">
        <v>378</v>
      </c>
      <c r="G12" t="s">
        <v>380</v>
      </c>
      <c r="I12" t="s">
        <v>388</v>
      </c>
      <c r="J12" t="s">
        <v>389</v>
      </c>
    </row>
    <row r="13" spans="1:9" ht="13.5" thickBot="1">
      <c r="A13" t="s">
        <v>31</v>
      </c>
      <c r="B13" t="s">
        <v>127</v>
      </c>
      <c r="D13" t="s">
        <v>127</v>
      </c>
      <c r="E13" t="s">
        <v>127</v>
      </c>
      <c r="F13" t="s">
        <v>379</v>
      </c>
      <c r="G13" t="s">
        <v>381</v>
      </c>
      <c r="H13" t="s">
        <v>382</v>
      </c>
      <c r="I13" t="s">
        <v>127</v>
      </c>
    </row>
    <row r="14" spans="1:10" ht="12.75">
      <c r="A14">
        <v>2</v>
      </c>
      <c r="B14">
        <v>100</v>
      </c>
      <c r="C14">
        <v>43</v>
      </c>
      <c r="D14">
        <v>42</v>
      </c>
      <c r="E14">
        <v>47</v>
      </c>
      <c r="G14">
        <v>10</v>
      </c>
      <c r="H14">
        <v>5.15</v>
      </c>
      <c r="I14">
        <v>48.1</v>
      </c>
      <c r="J14" s="150">
        <f>I14-E14</f>
        <v>1.1000000000000014</v>
      </c>
    </row>
    <row r="15" spans="1:10" ht="12.75">
      <c r="A15">
        <v>2</v>
      </c>
      <c r="B15">
        <v>100</v>
      </c>
      <c r="C15">
        <v>43</v>
      </c>
      <c r="D15">
        <v>42</v>
      </c>
      <c r="E15">
        <v>47</v>
      </c>
      <c r="G15">
        <v>14</v>
      </c>
      <c r="H15">
        <v>2.78</v>
      </c>
      <c r="I15">
        <v>47.6</v>
      </c>
      <c r="J15" s="151">
        <f>I15-E15</f>
        <v>0.6000000000000014</v>
      </c>
    </row>
    <row r="16" spans="1:10" ht="13.5" thickBot="1">
      <c r="A16">
        <v>2</v>
      </c>
      <c r="B16">
        <v>100</v>
      </c>
      <c r="C16">
        <v>43</v>
      </c>
      <c r="D16">
        <v>42</v>
      </c>
      <c r="E16">
        <v>47</v>
      </c>
      <c r="G16">
        <v>20</v>
      </c>
      <c r="H16">
        <v>1.46</v>
      </c>
      <c r="I16">
        <v>47.1</v>
      </c>
      <c r="J16" s="152">
        <f>I16-E16</f>
        <v>0.10000000000000142</v>
      </c>
    </row>
    <row r="18" ht="12.75">
      <c r="A18" t="s">
        <v>390</v>
      </c>
    </row>
    <row r="19" spans="1:2" ht="12.75">
      <c r="A19">
        <v>1</v>
      </c>
      <c r="B19" t="s">
        <v>392</v>
      </c>
    </row>
    <row r="20" spans="1:2" ht="12.75">
      <c r="A20">
        <v>2</v>
      </c>
      <c r="B20" t="s">
        <v>391</v>
      </c>
    </row>
    <row r="21" ht="12.75">
      <c r="A21">
        <v>3</v>
      </c>
    </row>
    <row r="22" ht="12.75">
      <c r="A22" t="s">
        <v>393</v>
      </c>
    </row>
    <row r="23" ht="12.75">
      <c r="B23" t="s">
        <v>394</v>
      </c>
    </row>
    <row r="24" ht="12.75">
      <c r="A24" t="s">
        <v>406</v>
      </c>
    </row>
    <row r="25" spans="1:2" ht="12.75">
      <c r="A25">
        <v>1</v>
      </c>
      <c r="B25" t="s">
        <v>407</v>
      </c>
    </row>
    <row r="26" ht="12.75">
      <c r="B26" s="30" t="s">
        <v>408</v>
      </c>
    </row>
    <row r="29" ht="12.75">
      <c r="A29" t="s">
        <v>399</v>
      </c>
    </row>
    <row r="30" ht="13.5" thickBot="1">
      <c r="A30" t="s">
        <v>396</v>
      </c>
    </row>
    <row r="31" spans="1:14" ht="12.75">
      <c r="A31" s="25" t="s">
        <v>395</v>
      </c>
      <c r="B31" s="16" t="s">
        <v>121</v>
      </c>
      <c r="N31" t="s">
        <v>398</v>
      </c>
    </row>
    <row r="32" spans="1:13" ht="13.5" thickBot="1">
      <c r="A32" s="26">
        <v>10</v>
      </c>
      <c r="B32" s="20">
        <v>-1.4</v>
      </c>
      <c r="L32" t="s">
        <v>397</v>
      </c>
      <c r="M32">
        <v>-1.15</v>
      </c>
    </row>
    <row r="33" spans="1:14" ht="13.5" thickBot="1">
      <c r="A33" s="26">
        <v>14</v>
      </c>
      <c r="B33" s="20">
        <v>-1</v>
      </c>
      <c r="L33" t="s">
        <v>301</v>
      </c>
      <c r="M33">
        <v>-0.9</v>
      </c>
      <c r="N33" s="31">
        <f>M33-M32</f>
        <v>0.2499999999999999</v>
      </c>
    </row>
    <row r="34" spans="1:2" ht="13.5" thickBot="1">
      <c r="A34" s="73">
        <v>20</v>
      </c>
      <c r="B34" s="24">
        <v>-0.8</v>
      </c>
    </row>
    <row r="42" ht="12.75">
      <c r="A42" t="s">
        <v>91</v>
      </c>
    </row>
    <row r="43" ht="13.5" thickBot="1">
      <c r="A43" t="s">
        <v>396</v>
      </c>
    </row>
    <row r="44" spans="1:2" ht="12.75">
      <c r="A44" s="25" t="s">
        <v>395</v>
      </c>
      <c r="B44" s="16" t="s">
        <v>400</v>
      </c>
    </row>
    <row r="45" spans="1:14" ht="12.75">
      <c r="A45" s="26">
        <v>10</v>
      </c>
      <c r="B45">
        <v>48.1</v>
      </c>
      <c r="N45" t="s">
        <v>398</v>
      </c>
    </row>
    <row r="46" spans="1:13" ht="13.5" thickBot="1">
      <c r="A46" s="26">
        <v>14</v>
      </c>
      <c r="B46">
        <v>47.6</v>
      </c>
      <c r="L46" t="s">
        <v>397</v>
      </c>
      <c r="M46">
        <v>47.8</v>
      </c>
    </row>
    <row r="47" spans="1:14" ht="13.5" thickBot="1">
      <c r="A47" s="73">
        <v>20</v>
      </c>
      <c r="B47">
        <v>47.1</v>
      </c>
      <c r="L47" t="s">
        <v>301</v>
      </c>
      <c r="M47">
        <v>47.4</v>
      </c>
      <c r="N47" s="31">
        <f>M46-M47</f>
        <v>0.3999999999999986</v>
      </c>
    </row>
    <row r="53" ht="12.75">
      <c r="A53" t="s">
        <v>401</v>
      </c>
    </row>
    <row r="54" ht="12.75">
      <c r="A54" t="s">
        <v>402</v>
      </c>
    </row>
    <row r="57" ht="12.75">
      <c r="A57" t="s">
        <v>403</v>
      </c>
    </row>
    <row r="59" ht="12.75">
      <c r="A59" s="30" t="s">
        <v>93</v>
      </c>
    </row>
    <row r="60" spans="1:5" ht="12.75">
      <c r="A60" t="s">
        <v>375</v>
      </c>
      <c r="B60" t="s">
        <v>374</v>
      </c>
      <c r="D60" s="156" t="s">
        <v>269</v>
      </c>
      <c r="E60" s="156"/>
    </row>
    <row r="61" spans="4:10" ht="12.75">
      <c r="D61" t="s">
        <v>376</v>
      </c>
      <c r="E61" t="s">
        <v>377</v>
      </c>
      <c r="F61" t="s">
        <v>378</v>
      </c>
      <c r="G61" t="s">
        <v>380</v>
      </c>
      <c r="I61" t="s">
        <v>383</v>
      </c>
      <c r="J61" t="s">
        <v>384</v>
      </c>
    </row>
    <row r="62" spans="1:9" ht="13.5" thickBot="1">
      <c r="A62" t="s">
        <v>31</v>
      </c>
      <c r="B62" t="s">
        <v>127</v>
      </c>
      <c r="D62" t="s">
        <v>127</v>
      </c>
      <c r="E62" t="s">
        <v>127</v>
      </c>
      <c r="F62" t="s">
        <v>379</v>
      </c>
      <c r="G62" t="s">
        <v>381</v>
      </c>
      <c r="H62" t="s">
        <v>382</v>
      </c>
      <c r="I62" t="s">
        <v>127</v>
      </c>
    </row>
    <row r="63" spans="1:10" ht="12.75">
      <c r="A63">
        <v>7</v>
      </c>
      <c r="B63">
        <v>40</v>
      </c>
      <c r="D63">
        <v>2</v>
      </c>
      <c r="E63">
        <v>-1.5</v>
      </c>
      <c r="F63">
        <v>0.514</v>
      </c>
      <c r="G63">
        <v>44</v>
      </c>
      <c r="H63">
        <v>8.7</v>
      </c>
      <c r="I63">
        <v>-4</v>
      </c>
      <c r="J63" s="150">
        <f>E63-I63</f>
        <v>2.5</v>
      </c>
    </row>
    <row r="64" spans="1:11" ht="12.75">
      <c r="A64">
        <v>1.7</v>
      </c>
      <c r="G64">
        <f>G63/A63*A64</f>
        <v>10.685714285714285</v>
      </c>
      <c r="J64" s="151"/>
      <c r="K64" s="30" t="s">
        <v>404</v>
      </c>
    </row>
    <row r="65" ht="13.5" thickBot="1">
      <c r="J65" s="152"/>
    </row>
    <row r="67" ht="12.75">
      <c r="A67" s="30" t="s">
        <v>91</v>
      </c>
    </row>
    <row r="68" spans="1:5" ht="12.75">
      <c r="A68" t="s">
        <v>375</v>
      </c>
      <c r="B68" t="s">
        <v>385</v>
      </c>
      <c r="C68" t="s">
        <v>386</v>
      </c>
      <c r="D68" s="33" t="s">
        <v>387</v>
      </c>
      <c r="E68" s="33"/>
    </row>
    <row r="69" spans="4:10" ht="12.75">
      <c r="D69" t="s">
        <v>376</v>
      </c>
      <c r="E69" t="s">
        <v>377</v>
      </c>
      <c r="F69" t="s">
        <v>378</v>
      </c>
      <c r="G69" t="s">
        <v>380</v>
      </c>
      <c r="I69" t="s">
        <v>388</v>
      </c>
      <c r="J69" t="s">
        <v>389</v>
      </c>
    </row>
    <row r="70" spans="1:9" ht="13.5" thickBot="1">
      <c r="A70" t="s">
        <v>31</v>
      </c>
      <c r="B70" t="s">
        <v>127</v>
      </c>
      <c r="D70" t="s">
        <v>127</v>
      </c>
      <c r="E70" t="s">
        <v>127</v>
      </c>
      <c r="F70" t="s">
        <v>379</v>
      </c>
      <c r="G70" t="s">
        <v>381</v>
      </c>
      <c r="H70" t="s">
        <v>382</v>
      </c>
      <c r="I70" t="s">
        <v>127</v>
      </c>
    </row>
    <row r="71" spans="1:10" ht="12.75">
      <c r="A71">
        <v>9</v>
      </c>
      <c r="B71">
        <v>100</v>
      </c>
      <c r="D71">
        <v>43</v>
      </c>
      <c r="E71">
        <v>50</v>
      </c>
      <c r="G71">
        <v>40</v>
      </c>
      <c r="H71">
        <v>3.1</v>
      </c>
      <c r="I71">
        <v>51</v>
      </c>
      <c r="J71" s="150">
        <f>I71-E71</f>
        <v>1</v>
      </c>
    </row>
    <row r="72" spans="1:11" ht="12.75">
      <c r="A72">
        <v>2</v>
      </c>
      <c r="G72">
        <f>G71/A71*A72</f>
        <v>8.88888888888889</v>
      </c>
      <c r="J72" s="151"/>
      <c r="K72" s="30" t="s">
        <v>405</v>
      </c>
    </row>
    <row r="73" ht="13.5" thickBot="1">
      <c r="J73" s="152"/>
    </row>
  </sheetData>
  <mergeCells count="2">
    <mergeCell ref="D3:E3"/>
    <mergeCell ref="D60:E60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I9">
      <selection activeCell="V35" sqref="V35"/>
    </sheetView>
  </sheetViews>
  <sheetFormatPr defaultColWidth="9.140625" defaultRowHeight="12.75"/>
  <cols>
    <col min="15" max="15" width="12.57421875" style="0" customWidth="1"/>
  </cols>
  <sheetData>
    <row r="1" spans="1:14" ht="13.5" thickBot="1">
      <c r="A1" t="s">
        <v>257</v>
      </c>
      <c r="K1" s="143">
        <v>0.48</v>
      </c>
      <c r="L1" s="143">
        <v>16</v>
      </c>
      <c r="M1" s="143">
        <v>48</v>
      </c>
      <c r="N1" s="143"/>
    </row>
    <row r="2" spans="5:14" ht="13.5" thickBot="1">
      <c r="E2" t="s">
        <v>313</v>
      </c>
      <c r="F2" t="s">
        <v>314</v>
      </c>
      <c r="K2" s="143">
        <v>0.149</v>
      </c>
      <c r="L2" s="143">
        <f>L1/K1*K2</f>
        <v>4.966666666666667</v>
      </c>
      <c r="M2" s="143">
        <v>6.4</v>
      </c>
      <c r="N2" s="145">
        <f>M2*1.25</f>
        <v>8</v>
      </c>
    </row>
    <row r="3" spans="2:14" ht="13.5" thickBot="1">
      <c r="B3" s="59"/>
      <c r="C3" s="59"/>
      <c r="D3" s="30" t="s">
        <v>222</v>
      </c>
      <c r="E3" s="30" t="s">
        <v>258</v>
      </c>
      <c r="F3" s="30" t="s">
        <v>258</v>
      </c>
      <c r="K3" s="143">
        <v>0.105</v>
      </c>
      <c r="L3" s="143">
        <f>L1/K1*K3</f>
        <v>3.5</v>
      </c>
      <c r="M3" s="144">
        <v>3.49</v>
      </c>
      <c r="N3" s="143"/>
    </row>
    <row r="4" spans="2:14" ht="12.75">
      <c r="B4" s="59"/>
      <c r="C4" s="59"/>
      <c r="D4" s="30" t="s">
        <v>226</v>
      </c>
      <c r="E4" s="30" t="s">
        <v>259</v>
      </c>
      <c r="F4" s="30" t="s">
        <v>259</v>
      </c>
      <c r="K4" s="143"/>
      <c r="L4" s="143"/>
      <c r="M4" s="143"/>
      <c r="N4" s="143"/>
    </row>
    <row r="5" spans="2:14" ht="13.5" thickBot="1">
      <c r="B5" s="59"/>
      <c r="C5" s="59"/>
      <c r="D5" s="57" t="s">
        <v>234</v>
      </c>
      <c r="E5" s="57"/>
      <c r="F5" s="57"/>
      <c r="K5" s="143">
        <v>0.18</v>
      </c>
      <c r="L5" s="143">
        <v>8.2</v>
      </c>
      <c r="M5" s="143">
        <v>15</v>
      </c>
      <c r="N5" s="143"/>
    </row>
    <row r="6" spans="1:14" ht="13.5" thickBot="1">
      <c r="A6" s="51" t="s">
        <v>232</v>
      </c>
      <c r="B6" s="60"/>
      <c r="C6" s="60"/>
      <c r="D6" s="30" t="s">
        <v>301</v>
      </c>
      <c r="E6" s="127" t="s">
        <v>301</v>
      </c>
      <c r="F6" s="133" t="s">
        <v>301</v>
      </c>
      <c r="K6" s="143">
        <v>0.149</v>
      </c>
      <c r="L6" s="143">
        <f>L5/K5*K6</f>
        <v>6.787777777777777</v>
      </c>
      <c r="M6" s="143">
        <v>10.77</v>
      </c>
      <c r="N6" s="144">
        <f>M6*1.25</f>
        <v>13.462499999999999</v>
      </c>
    </row>
    <row r="7" spans="1:14" ht="13.5" thickBot="1">
      <c r="A7" s="52" t="s">
        <v>240</v>
      </c>
      <c r="B7" s="61"/>
      <c r="C7" s="61"/>
      <c r="D7" s="54">
        <v>9</v>
      </c>
      <c r="E7" s="128">
        <v>2.2</v>
      </c>
      <c r="F7" s="140">
        <v>2.2</v>
      </c>
      <c r="K7" s="143">
        <v>0.105</v>
      </c>
      <c r="L7" s="143">
        <f>L5/K5*K7</f>
        <v>4.783333333333332</v>
      </c>
      <c r="M7" s="143">
        <v>5.93</v>
      </c>
      <c r="N7" s="143"/>
    </row>
    <row r="8" spans="1:6" ht="13.5" thickBot="1">
      <c r="A8" s="52" t="s">
        <v>241</v>
      </c>
      <c r="B8" s="61"/>
      <c r="C8" s="61"/>
      <c r="D8" s="54">
        <v>2.2</v>
      </c>
      <c r="E8" s="128">
        <v>0.5</v>
      </c>
      <c r="F8" s="134">
        <v>0.5</v>
      </c>
    </row>
    <row r="9" spans="1:12" ht="13.5" thickBot="1">
      <c r="A9" s="53" t="s">
        <v>242</v>
      </c>
      <c r="B9" s="62"/>
      <c r="C9" s="62"/>
      <c r="D9" s="54">
        <f>D7-D8</f>
        <v>6.8</v>
      </c>
      <c r="E9" s="139">
        <f>E7-E8</f>
        <v>1.7000000000000002</v>
      </c>
      <c r="F9" s="134"/>
      <c r="J9" s="25"/>
      <c r="K9" s="15" t="s">
        <v>307</v>
      </c>
      <c r="L9" s="16" t="s">
        <v>308</v>
      </c>
    </row>
    <row r="10" spans="1:15" ht="12.75">
      <c r="A10" s="52" t="s">
        <v>126</v>
      </c>
      <c r="B10" s="63"/>
      <c r="C10" s="63"/>
      <c r="D10" s="70">
        <f>D7/D8</f>
        <v>4.090909090909091</v>
      </c>
      <c r="E10" s="129">
        <f>E7/E8</f>
        <v>4.4</v>
      </c>
      <c r="F10" s="135">
        <f>F7/F8</f>
        <v>4.4</v>
      </c>
      <c r="J10" s="26" t="s">
        <v>306</v>
      </c>
      <c r="K10" s="147">
        <v>5.93</v>
      </c>
      <c r="L10" s="16">
        <v>3.49</v>
      </c>
      <c r="O10" s="146"/>
    </row>
    <row r="11" spans="1:12" ht="12.75">
      <c r="A11" s="52" t="s">
        <v>243</v>
      </c>
      <c r="B11" s="61"/>
      <c r="C11" s="61"/>
      <c r="D11" s="54"/>
      <c r="E11" s="128"/>
      <c r="F11" s="134"/>
      <c r="J11" s="26" t="s">
        <v>309</v>
      </c>
      <c r="K11" s="26">
        <v>8</v>
      </c>
      <c r="L11" s="20">
        <v>10.7</v>
      </c>
    </row>
    <row r="12" spans="1:12" ht="13.5" thickBot="1">
      <c r="A12" s="53" t="s">
        <v>245</v>
      </c>
      <c r="B12" s="64"/>
      <c r="C12" s="64"/>
      <c r="D12" s="55">
        <v>0.48</v>
      </c>
      <c r="E12" s="142">
        <f>L31</f>
        <v>0.14912280701754385</v>
      </c>
      <c r="F12" s="141">
        <f>P31</f>
        <v>0.10476190476190476</v>
      </c>
      <c r="J12" s="73" t="s">
        <v>310</v>
      </c>
      <c r="K12" s="73">
        <f>K11*1.25</f>
        <v>10</v>
      </c>
      <c r="L12" s="24">
        <f>L11*1.25</f>
        <v>13.375</v>
      </c>
    </row>
    <row r="13" spans="1:6" ht="12.75">
      <c r="A13" s="52" t="s">
        <v>247</v>
      </c>
      <c r="B13" s="65"/>
      <c r="C13" s="65"/>
      <c r="D13" s="55">
        <f>D9/D12/4.2</f>
        <v>3.3730158730158726</v>
      </c>
      <c r="E13" s="130">
        <f>E9/E12/3.8</f>
        <v>3.000000000000001</v>
      </c>
      <c r="F13" s="136">
        <f>F7/F12/4.2</f>
        <v>5</v>
      </c>
    </row>
    <row r="14" spans="1:6" ht="12.75">
      <c r="A14" s="52" t="s">
        <v>249</v>
      </c>
      <c r="B14" s="61"/>
      <c r="C14" s="61"/>
      <c r="D14" s="54">
        <v>480</v>
      </c>
      <c r="E14" s="128">
        <v>80</v>
      </c>
      <c r="F14" s="134">
        <v>34.9</v>
      </c>
    </row>
    <row r="15" spans="1:10" ht="12.75">
      <c r="A15" s="52" t="s">
        <v>250</v>
      </c>
      <c r="B15" s="61"/>
      <c r="C15" s="61"/>
      <c r="D15" s="54">
        <f>D14/100</f>
        <v>4.8</v>
      </c>
      <c r="E15" s="128">
        <f>E14/100</f>
        <v>0.8</v>
      </c>
      <c r="F15" s="134">
        <f>F14/100</f>
        <v>0.349</v>
      </c>
      <c r="J15" t="s">
        <v>261</v>
      </c>
    </row>
    <row r="16" spans="1:6" ht="12.75">
      <c r="A16" s="56" t="s">
        <v>251</v>
      </c>
      <c r="B16" s="66"/>
      <c r="C16" s="66"/>
      <c r="D16" s="57">
        <v>48</v>
      </c>
      <c r="E16" s="131">
        <f>E14/10</f>
        <v>8</v>
      </c>
      <c r="F16" s="137">
        <f>F14/10</f>
        <v>3.4899999999999998</v>
      </c>
    </row>
    <row r="17" spans="2:6" ht="12.75">
      <c r="B17" s="59"/>
      <c r="C17" s="59"/>
      <c r="D17" s="30"/>
      <c r="E17" s="30"/>
      <c r="F17" s="30"/>
    </row>
    <row r="18" spans="1:6" ht="12.75">
      <c r="A18" s="126" t="s">
        <v>91</v>
      </c>
      <c r="B18" s="60"/>
      <c r="C18" s="60"/>
      <c r="D18" s="71" t="s">
        <v>302</v>
      </c>
      <c r="E18" s="138" t="s">
        <v>302</v>
      </c>
      <c r="F18" s="132" t="s">
        <v>302</v>
      </c>
    </row>
    <row r="19" spans="1:6" ht="12.75">
      <c r="A19" s="52" t="s">
        <v>240</v>
      </c>
      <c r="B19" s="61"/>
      <c r="C19" s="61"/>
      <c r="D19" s="54">
        <v>9</v>
      </c>
      <c r="E19" s="134">
        <v>2.2</v>
      </c>
      <c r="F19" s="128">
        <v>1.7</v>
      </c>
    </row>
    <row r="20" spans="1:6" ht="12.75">
      <c r="A20" s="52" t="s">
        <v>243</v>
      </c>
      <c r="B20" s="61"/>
      <c r="C20" s="61"/>
      <c r="D20" s="54"/>
      <c r="E20" s="134"/>
      <c r="F20" s="128"/>
    </row>
    <row r="21" spans="1:6" ht="12.75">
      <c r="A21" s="53" t="s">
        <v>245</v>
      </c>
      <c r="B21" s="64"/>
      <c r="C21" s="64"/>
      <c r="D21" s="55">
        <v>0.18</v>
      </c>
      <c r="E21" s="141">
        <f>P31</f>
        <v>0.10476190476190476</v>
      </c>
      <c r="F21" s="142">
        <f>L31</f>
        <v>0.14912280701754385</v>
      </c>
    </row>
    <row r="22" spans="1:6" ht="12.75">
      <c r="A22" s="52" t="s">
        <v>247</v>
      </c>
      <c r="B22" s="65"/>
      <c r="C22" s="65"/>
      <c r="D22" s="55">
        <f>D19/D21/4.2</f>
        <v>11.904761904761905</v>
      </c>
      <c r="E22" s="136">
        <f>E19/E21/4.2</f>
        <v>5</v>
      </c>
      <c r="F22" s="130">
        <f>F19/F21/3.8</f>
        <v>3.0000000000000004</v>
      </c>
    </row>
    <row r="23" spans="1:10" ht="12.75">
      <c r="A23" s="52" t="s">
        <v>249</v>
      </c>
      <c r="B23" s="61"/>
      <c r="C23" s="61"/>
      <c r="D23" s="54">
        <v>150</v>
      </c>
      <c r="E23" s="134">
        <v>59.3</v>
      </c>
      <c r="F23" s="128">
        <v>107</v>
      </c>
      <c r="J23" t="s">
        <v>262</v>
      </c>
    </row>
    <row r="24" spans="1:6" ht="12.75">
      <c r="A24" s="52" t="s">
        <v>250</v>
      </c>
      <c r="B24" s="61"/>
      <c r="C24" s="61"/>
      <c r="D24" s="54">
        <v>1.5</v>
      </c>
      <c r="E24" s="134">
        <f>E23/100</f>
        <v>0.593</v>
      </c>
      <c r="F24" s="128">
        <f>F23/100</f>
        <v>1.07</v>
      </c>
    </row>
    <row r="25" spans="1:6" ht="12.75">
      <c r="A25" s="56" t="s">
        <v>251</v>
      </c>
      <c r="B25" s="66"/>
      <c r="C25" s="66"/>
      <c r="D25" s="57">
        <v>15</v>
      </c>
      <c r="E25" s="137">
        <f>E23/10</f>
        <v>5.93</v>
      </c>
      <c r="F25" s="131">
        <f>F23/10</f>
        <v>10.7</v>
      </c>
    </row>
    <row r="26" ht="13.5" thickBot="1"/>
    <row r="27" spans="11:17" ht="12.75">
      <c r="K27" s="99" t="s">
        <v>304</v>
      </c>
      <c r="L27" s="100"/>
      <c r="M27" s="101"/>
      <c r="O27" s="112" t="s">
        <v>303</v>
      </c>
      <c r="P27" s="113"/>
      <c r="Q27" s="114"/>
    </row>
    <row r="28" spans="1:17" ht="12.75">
      <c r="A28" t="s">
        <v>312</v>
      </c>
      <c r="K28" s="102" t="s">
        <v>263</v>
      </c>
      <c r="L28" s="91">
        <v>1.7</v>
      </c>
      <c r="M28" s="103" t="s">
        <v>31</v>
      </c>
      <c r="O28" s="115" t="s">
        <v>263</v>
      </c>
      <c r="P28" s="116">
        <v>2.2</v>
      </c>
      <c r="Q28" s="117" t="s">
        <v>31</v>
      </c>
    </row>
    <row r="29" spans="1:17" ht="12.75">
      <c r="A29" t="s">
        <v>315</v>
      </c>
      <c r="K29" s="102" t="s">
        <v>264</v>
      </c>
      <c r="L29" s="91">
        <v>3.8</v>
      </c>
      <c r="M29" s="103" t="s">
        <v>141</v>
      </c>
      <c r="O29" s="115" t="s">
        <v>264</v>
      </c>
      <c r="P29" s="116">
        <v>4.2</v>
      </c>
      <c r="Q29" s="117" t="s">
        <v>141</v>
      </c>
    </row>
    <row r="30" spans="1:17" ht="13.5" thickBot="1">
      <c r="A30" t="s">
        <v>316</v>
      </c>
      <c r="K30" s="102" t="s">
        <v>142</v>
      </c>
      <c r="L30" s="91">
        <v>3</v>
      </c>
      <c r="M30" s="103"/>
      <c r="O30" s="115" t="s">
        <v>142</v>
      </c>
      <c r="P30" s="116">
        <v>5</v>
      </c>
      <c r="Q30" s="117"/>
    </row>
    <row r="31" spans="1:17" ht="12.75">
      <c r="A31" t="s">
        <v>317</v>
      </c>
      <c r="K31" s="104" t="s">
        <v>138</v>
      </c>
      <c r="L31" s="105">
        <f>L28/L29/L30</f>
        <v>0.14912280701754385</v>
      </c>
      <c r="M31" s="101" t="s">
        <v>10</v>
      </c>
      <c r="O31" s="118" t="s">
        <v>138</v>
      </c>
      <c r="P31" s="119">
        <f>P28/P29/P30</f>
        <v>0.10476190476190476</v>
      </c>
      <c r="Q31" s="114" t="s">
        <v>10</v>
      </c>
    </row>
    <row r="32" spans="1:17" ht="12.75">
      <c r="A32" t="s">
        <v>319</v>
      </c>
      <c r="K32" s="106"/>
      <c r="L32" s="91">
        <f>L31*60</f>
        <v>8.947368421052632</v>
      </c>
      <c r="M32" s="103" t="s">
        <v>44</v>
      </c>
      <c r="O32" s="120"/>
      <c r="P32" s="116">
        <f>P31*60</f>
        <v>6.285714285714286</v>
      </c>
      <c r="Q32" s="117" t="s">
        <v>44</v>
      </c>
    </row>
    <row r="33" spans="1:17" ht="13.5" thickBot="1">
      <c r="A33" t="s">
        <v>318</v>
      </c>
      <c r="K33" s="107"/>
      <c r="L33" s="108">
        <f>L31*3.6</f>
        <v>0.5368421052631579</v>
      </c>
      <c r="M33" s="109" t="s">
        <v>17</v>
      </c>
      <c r="O33" s="121"/>
      <c r="P33" s="122">
        <f>P31*3.6</f>
        <v>0.37714285714285717</v>
      </c>
      <c r="Q33" s="123" t="s">
        <v>17</v>
      </c>
    </row>
    <row r="34" spans="11:17" ht="12.75">
      <c r="K34" s="110" t="s">
        <v>305</v>
      </c>
      <c r="L34" s="111"/>
      <c r="M34" s="111"/>
      <c r="O34" s="124" t="s">
        <v>305</v>
      </c>
      <c r="P34" s="125"/>
      <c r="Q34" s="125"/>
    </row>
    <row r="35" spans="1:12" ht="12.75">
      <c r="A35" t="s">
        <v>311</v>
      </c>
      <c r="H35" s="98"/>
      <c r="L35" s="98"/>
    </row>
    <row r="36" spans="2:15" ht="12.75">
      <c r="B36" s="59" t="s">
        <v>221</v>
      </c>
      <c r="C36" s="59" t="s">
        <v>221</v>
      </c>
      <c r="D36" s="30" t="s">
        <v>222</v>
      </c>
      <c r="E36" s="59"/>
      <c r="F36" s="59" t="s">
        <v>223</v>
      </c>
      <c r="G36" s="59"/>
      <c r="I36" s="59" t="s">
        <v>221</v>
      </c>
      <c r="J36" s="59" t="s">
        <v>221</v>
      </c>
      <c r="N36" t="s">
        <v>224</v>
      </c>
      <c r="O36">
        <v>1</v>
      </c>
    </row>
    <row r="37" spans="2:15" ht="12.75">
      <c r="B37" s="59" t="s">
        <v>225</v>
      </c>
      <c r="C37" s="59" t="s">
        <v>225</v>
      </c>
      <c r="D37" s="30" t="s">
        <v>226</v>
      </c>
      <c r="E37" s="59" t="s">
        <v>227</v>
      </c>
      <c r="F37" s="59" t="s">
        <v>228</v>
      </c>
      <c r="G37" s="59"/>
      <c r="I37" s="59" t="s">
        <v>229</v>
      </c>
      <c r="J37" s="59" t="s">
        <v>230</v>
      </c>
      <c r="N37" t="s">
        <v>231</v>
      </c>
      <c r="O37">
        <v>10</v>
      </c>
    </row>
    <row r="38" spans="2:15" ht="12.75">
      <c r="B38" s="59" t="s">
        <v>232</v>
      </c>
      <c r="C38" s="59" t="s">
        <v>233</v>
      </c>
      <c r="D38" s="57" t="s">
        <v>234</v>
      </c>
      <c r="E38" s="59" t="s">
        <v>232</v>
      </c>
      <c r="F38" s="61" t="s">
        <v>235</v>
      </c>
      <c r="G38" s="59"/>
      <c r="I38" s="59" t="s">
        <v>232</v>
      </c>
      <c r="J38" s="59" t="s">
        <v>232</v>
      </c>
      <c r="N38" t="s">
        <v>218</v>
      </c>
      <c r="O38">
        <v>100</v>
      </c>
    </row>
    <row r="39" spans="1:15" ht="12.75">
      <c r="A39" s="51" t="s">
        <v>232</v>
      </c>
      <c r="B39" s="60" t="s">
        <v>236</v>
      </c>
      <c r="C39" s="60"/>
      <c r="D39" s="30" t="s">
        <v>237</v>
      </c>
      <c r="E39" s="60" t="s">
        <v>238</v>
      </c>
      <c r="F39" s="60"/>
      <c r="G39" s="67"/>
      <c r="H39" s="35"/>
      <c r="I39" s="60"/>
      <c r="J39" s="60"/>
      <c r="N39" t="s">
        <v>239</v>
      </c>
      <c r="O39">
        <v>1000</v>
      </c>
    </row>
    <row r="40" spans="1:10" ht="12.75">
      <c r="A40" s="52" t="s">
        <v>240</v>
      </c>
      <c r="B40" s="61">
        <v>7.8</v>
      </c>
      <c r="C40" s="61">
        <v>7.8</v>
      </c>
      <c r="D40" s="54">
        <v>9</v>
      </c>
      <c r="E40" s="61"/>
      <c r="F40" s="59"/>
      <c r="G40" s="68"/>
      <c r="H40" s="19"/>
      <c r="I40" s="61">
        <v>9.9</v>
      </c>
      <c r="J40" s="61">
        <v>8.3</v>
      </c>
    </row>
    <row r="41" spans="1:10" ht="12.75">
      <c r="A41" s="52" t="s">
        <v>241</v>
      </c>
      <c r="B41" s="61">
        <v>1.78</v>
      </c>
      <c r="C41" s="61">
        <v>1.78</v>
      </c>
      <c r="D41" s="54">
        <v>2.2</v>
      </c>
      <c r="E41" s="61"/>
      <c r="F41" s="61"/>
      <c r="G41" s="68"/>
      <c r="H41" s="19"/>
      <c r="I41" s="61">
        <v>2.2</v>
      </c>
      <c r="J41" s="61">
        <v>2</v>
      </c>
    </row>
    <row r="42" spans="1:10" ht="12.75">
      <c r="A42" s="53" t="s">
        <v>242</v>
      </c>
      <c r="B42" s="62">
        <f>B40-B41</f>
        <v>6.02</v>
      </c>
      <c r="C42" s="62">
        <f>C40-C41</f>
        <v>6.02</v>
      </c>
      <c r="D42" s="54">
        <f>D40-D41</f>
        <v>6.8</v>
      </c>
      <c r="E42" s="62">
        <v>6</v>
      </c>
      <c r="F42" s="62">
        <v>7</v>
      </c>
      <c r="G42" s="68"/>
      <c r="H42" s="19"/>
      <c r="I42" s="62">
        <f>I40-I41</f>
        <v>7.7</v>
      </c>
      <c r="J42" s="62">
        <f>J40-J41</f>
        <v>6.300000000000001</v>
      </c>
    </row>
    <row r="43" spans="1:10" ht="12.75">
      <c r="A43" s="52" t="s">
        <v>126</v>
      </c>
      <c r="B43" s="63">
        <f>B40/B41</f>
        <v>4.382022471910112</v>
      </c>
      <c r="C43" s="63">
        <f>C40/C41</f>
        <v>4.382022471910112</v>
      </c>
      <c r="D43" s="70">
        <f>D40/D41</f>
        <v>4.090909090909091</v>
      </c>
      <c r="E43" s="61"/>
      <c r="F43" s="62"/>
      <c r="G43" s="68"/>
      <c r="H43" s="19"/>
      <c r="I43" s="63">
        <f>I40/I41</f>
        <v>4.5</v>
      </c>
      <c r="J43" s="63">
        <f>J40/J41</f>
        <v>4.15</v>
      </c>
    </row>
    <row r="44" spans="1:14" ht="12.75">
      <c r="A44" s="52" t="s">
        <v>243</v>
      </c>
      <c r="B44" s="61">
        <v>2.1</v>
      </c>
      <c r="C44" s="61">
        <v>1.9</v>
      </c>
      <c r="D44" s="54"/>
      <c r="E44" s="61"/>
      <c r="F44" s="62"/>
      <c r="G44" s="68"/>
      <c r="H44" s="19"/>
      <c r="I44" s="61">
        <v>2.6</v>
      </c>
      <c r="J44" s="61">
        <v>1.9</v>
      </c>
      <c r="N44" t="s">
        <v>244</v>
      </c>
    </row>
    <row r="45" spans="1:14" ht="12.75">
      <c r="A45" s="53" t="s">
        <v>245</v>
      </c>
      <c r="B45" s="64">
        <f>B44*1000/3600</f>
        <v>0.5833333333333334</v>
      </c>
      <c r="C45" s="64">
        <f>C44*1000/3600</f>
        <v>0.5277777777777778</v>
      </c>
      <c r="D45" s="55">
        <v>0.48</v>
      </c>
      <c r="E45" s="62">
        <v>0.396</v>
      </c>
      <c r="F45" s="62">
        <v>0.5</v>
      </c>
      <c r="G45" s="68"/>
      <c r="H45" s="19"/>
      <c r="I45" s="64">
        <f>I44*1000/3600</f>
        <v>0.7222222222222222</v>
      </c>
      <c r="J45" s="64">
        <f>J44*1000/3600</f>
        <v>0.5277777777777778</v>
      </c>
      <c r="N45" t="s">
        <v>246</v>
      </c>
    </row>
    <row r="46" spans="1:14" ht="12.75">
      <c r="A46" s="52" t="s">
        <v>247</v>
      </c>
      <c r="B46" s="65">
        <f>B42/B45/4.2</f>
        <v>2.457142857142857</v>
      </c>
      <c r="C46" s="65">
        <f>C42/C45/3.8</f>
        <v>3.001662049861496</v>
      </c>
      <c r="D46" s="55">
        <f>D42/D45/4.2</f>
        <v>3.3730158730158726</v>
      </c>
      <c r="E46" s="65">
        <f>E42/E45/4.2</f>
        <v>3.6075036075036073</v>
      </c>
      <c r="F46" s="64">
        <f>F42/F45/4.2</f>
        <v>3.333333333333333</v>
      </c>
      <c r="G46" s="68"/>
      <c r="H46" s="19"/>
      <c r="I46" s="65">
        <f>I42/I45/4.2</f>
        <v>2.5384615384615388</v>
      </c>
      <c r="J46" s="65">
        <f>J42/J45/4.2</f>
        <v>2.8421052631578947</v>
      </c>
      <c r="N46" t="s">
        <v>248</v>
      </c>
    </row>
    <row r="47" spans="1:10" ht="12.75">
      <c r="A47" s="52" t="s">
        <v>249</v>
      </c>
      <c r="B47" s="61">
        <v>100</v>
      </c>
      <c r="C47" s="61">
        <v>100</v>
      </c>
      <c r="D47" s="54">
        <v>480</v>
      </c>
      <c r="E47" s="61">
        <v>166</v>
      </c>
      <c r="F47" s="62"/>
      <c r="G47" s="68"/>
      <c r="H47" s="19"/>
      <c r="I47" s="61">
        <v>110</v>
      </c>
      <c r="J47" s="61">
        <v>169</v>
      </c>
    </row>
    <row r="48" spans="1:10" ht="12.75">
      <c r="A48" s="52" t="s">
        <v>250</v>
      </c>
      <c r="B48" s="61">
        <v>1</v>
      </c>
      <c r="C48" s="61">
        <v>1</v>
      </c>
      <c r="D48" s="54">
        <f>D47/100</f>
        <v>4.8</v>
      </c>
      <c r="E48" s="61"/>
      <c r="F48" s="62"/>
      <c r="G48" s="68"/>
      <c r="H48" s="19"/>
      <c r="I48" s="61">
        <v>1.1</v>
      </c>
      <c r="J48" s="61">
        <f>J47/100</f>
        <v>1.69</v>
      </c>
    </row>
    <row r="49" spans="1:10" ht="12.75">
      <c r="A49" s="56" t="s">
        <v>251</v>
      </c>
      <c r="B49" s="66">
        <v>10</v>
      </c>
      <c r="C49" s="66">
        <v>10</v>
      </c>
      <c r="D49" s="57">
        <v>48</v>
      </c>
      <c r="E49" s="66">
        <v>50</v>
      </c>
      <c r="F49" s="66">
        <v>10</v>
      </c>
      <c r="G49" s="69"/>
      <c r="H49" s="50"/>
      <c r="I49" s="66">
        <v>11</v>
      </c>
      <c r="J49" s="66">
        <v>16.9</v>
      </c>
    </row>
    <row r="50" spans="2:10" ht="12.75">
      <c r="B50" s="59"/>
      <c r="C50" s="59"/>
      <c r="D50" s="30"/>
      <c r="E50" s="59" t="s">
        <v>227</v>
      </c>
      <c r="F50" s="59" t="s">
        <v>252</v>
      </c>
      <c r="G50" s="59"/>
      <c r="I50" s="59"/>
      <c r="J50" s="59"/>
    </row>
    <row r="51" spans="1:10" ht="12.75">
      <c r="A51" s="58" t="s">
        <v>91</v>
      </c>
      <c r="B51" s="60" t="s">
        <v>253</v>
      </c>
      <c r="C51" s="60"/>
      <c r="D51" s="71" t="s">
        <v>254</v>
      </c>
      <c r="E51" s="60" t="s">
        <v>255</v>
      </c>
      <c r="F51" s="60"/>
      <c r="G51" s="67"/>
      <c r="H51" s="35"/>
      <c r="I51" s="60"/>
      <c r="J51" s="60"/>
    </row>
    <row r="52" spans="1:10" ht="12.75">
      <c r="A52" s="52" t="s">
        <v>240</v>
      </c>
      <c r="B52" s="61">
        <v>7.8</v>
      </c>
      <c r="C52" s="61"/>
      <c r="D52" s="54">
        <v>9</v>
      </c>
      <c r="E52" s="61">
        <v>8</v>
      </c>
      <c r="F52" s="61">
        <v>9</v>
      </c>
      <c r="G52" s="68"/>
      <c r="H52" s="19"/>
      <c r="I52" s="61">
        <v>9.9</v>
      </c>
      <c r="J52" s="61">
        <v>8.3</v>
      </c>
    </row>
    <row r="53" spans="1:10" ht="12.75">
      <c r="A53" s="52" t="s">
        <v>243</v>
      </c>
      <c r="B53" s="61">
        <v>0.8</v>
      </c>
      <c r="C53" s="61"/>
      <c r="D53" s="54"/>
      <c r="E53" s="61"/>
      <c r="F53" s="61"/>
      <c r="G53" s="68"/>
      <c r="H53" s="19"/>
      <c r="I53" s="61">
        <v>1.1</v>
      </c>
      <c r="J53" s="61">
        <v>1</v>
      </c>
    </row>
    <row r="54" spans="1:10" ht="12.75">
      <c r="A54" s="53" t="s">
        <v>245</v>
      </c>
      <c r="B54" s="64">
        <f>B53*1000/3600</f>
        <v>0.2222222222222222</v>
      </c>
      <c r="C54" s="64"/>
      <c r="D54" s="55">
        <v>0.18</v>
      </c>
      <c r="E54" s="64">
        <v>0.38</v>
      </c>
      <c r="F54" s="62">
        <v>0.3</v>
      </c>
      <c r="G54" s="68"/>
      <c r="H54" s="19"/>
      <c r="I54" s="64">
        <f>I53*1000/3600</f>
        <v>0.3055555555555556</v>
      </c>
      <c r="J54" s="64">
        <f>J53*1000/3600</f>
        <v>0.2777777777777778</v>
      </c>
    </row>
    <row r="55" spans="1:10" ht="12.75">
      <c r="A55" s="52" t="s">
        <v>247</v>
      </c>
      <c r="B55" s="65">
        <f>B52/B54/4.2</f>
        <v>8.357142857142858</v>
      </c>
      <c r="C55" s="65"/>
      <c r="D55" s="55">
        <f>D52/D54/4.2</f>
        <v>11.904761904761905</v>
      </c>
      <c r="E55" s="65">
        <f>E52/E54/4.2</f>
        <v>5.012531328320802</v>
      </c>
      <c r="F55" s="65">
        <f>F52/F54/4.2</f>
        <v>7.142857142857142</v>
      </c>
      <c r="G55" s="68"/>
      <c r="H55" s="19"/>
      <c r="I55" s="65">
        <f>I52/I54/4.2</f>
        <v>7.7142857142857135</v>
      </c>
      <c r="J55" s="65">
        <f>J52/J54/4.2</f>
        <v>7.114285714285715</v>
      </c>
    </row>
    <row r="56" spans="1:10" ht="12.75">
      <c r="A56" s="52" t="s">
        <v>249</v>
      </c>
      <c r="B56" s="61">
        <v>180</v>
      </c>
      <c r="C56" s="61"/>
      <c r="D56" s="54">
        <v>150</v>
      </c>
      <c r="E56" s="61">
        <v>290</v>
      </c>
      <c r="F56" s="61"/>
      <c r="G56" s="68"/>
      <c r="H56" s="19"/>
      <c r="I56" s="61">
        <v>180</v>
      </c>
      <c r="J56" s="61">
        <v>117</v>
      </c>
    </row>
    <row r="57" spans="1:10" ht="12.75">
      <c r="A57" s="52" t="s">
        <v>250</v>
      </c>
      <c r="B57" s="61">
        <v>1.8</v>
      </c>
      <c r="C57" s="61"/>
      <c r="D57" s="54">
        <v>1.5</v>
      </c>
      <c r="E57" s="61">
        <v>2.9</v>
      </c>
      <c r="F57" s="61"/>
      <c r="G57" s="68"/>
      <c r="H57" s="19"/>
      <c r="I57" s="61">
        <v>1.8</v>
      </c>
      <c r="J57" s="61">
        <v>1.2</v>
      </c>
    </row>
    <row r="58" spans="1:10" ht="12.75">
      <c r="A58" s="56" t="s">
        <v>251</v>
      </c>
      <c r="B58" s="66">
        <v>18</v>
      </c>
      <c r="C58" s="66"/>
      <c r="D58" s="57">
        <v>15</v>
      </c>
      <c r="E58" s="66">
        <v>29</v>
      </c>
      <c r="F58" s="66">
        <v>18</v>
      </c>
      <c r="G58" s="69"/>
      <c r="H58" s="50"/>
      <c r="I58" s="66">
        <v>18</v>
      </c>
      <c r="J58" s="66">
        <v>12</v>
      </c>
    </row>
    <row r="62" spans="1:12" ht="25.5" customHeight="1">
      <c r="A62" s="157" t="s">
        <v>256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</row>
  </sheetData>
  <mergeCells count="1">
    <mergeCell ref="A62:L6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I70" sqref="I70"/>
    </sheetView>
  </sheetViews>
  <sheetFormatPr defaultColWidth="9.140625" defaultRowHeight="12.75"/>
  <sheetData>
    <row r="1" spans="1:10" ht="12.75">
      <c r="A1" t="s">
        <v>54</v>
      </c>
      <c r="J1" t="s">
        <v>58</v>
      </c>
    </row>
    <row r="2" spans="1:2" ht="12.75">
      <c r="A2" t="s">
        <v>42</v>
      </c>
      <c r="B2" t="s">
        <v>75</v>
      </c>
    </row>
    <row r="3" ht="12.75">
      <c r="A3" t="s">
        <v>76</v>
      </c>
    </row>
    <row r="4" spans="1:12" ht="13.5" thickBot="1">
      <c r="A4" t="s">
        <v>43</v>
      </c>
      <c r="D4">
        <v>0.16</v>
      </c>
      <c r="J4" t="s">
        <v>78</v>
      </c>
      <c r="L4" t="s">
        <v>79</v>
      </c>
    </row>
    <row r="5" spans="4:13" ht="12.75">
      <c r="D5">
        <f>D4*60</f>
        <v>9.6</v>
      </c>
      <c r="E5" t="s">
        <v>44</v>
      </c>
      <c r="F5" t="s">
        <v>53</v>
      </c>
      <c r="J5" s="25">
        <v>3.5</v>
      </c>
      <c r="K5" s="16" t="s">
        <v>31</v>
      </c>
      <c r="L5" s="25">
        <v>3.5</v>
      </c>
      <c r="M5" s="16" t="s">
        <v>31</v>
      </c>
    </row>
    <row r="6" spans="1:13" ht="12.75">
      <c r="A6" t="s">
        <v>49</v>
      </c>
      <c r="J6" s="26">
        <v>5</v>
      </c>
      <c r="K6" s="20" t="s">
        <v>46</v>
      </c>
      <c r="L6" s="26">
        <v>6.8</v>
      </c>
      <c r="M6" s="20" t="s">
        <v>46</v>
      </c>
    </row>
    <row r="7" spans="1:13" ht="12.75">
      <c r="A7" t="s">
        <v>77</v>
      </c>
      <c r="J7" s="28">
        <f>J5/4.2/J6*60</f>
        <v>10</v>
      </c>
      <c r="K7" s="20" t="s">
        <v>47</v>
      </c>
      <c r="L7" s="28">
        <f>L5/4.2/L6*60</f>
        <v>7.352941176470588</v>
      </c>
      <c r="M7" s="20" t="s">
        <v>47</v>
      </c>
    </row>
    <row r="8" spans="1:13" ht="13.5" thickBot="1">
      <c r="A8" s="23"/>
      <c r="B8" s="23"/>
      <c r="C8" s="23"/>
      <c r="D8" s="23"/>
      <c r="E8" s="23"/>
      <c r="F8" s="23"/>
      <c r="G8" s="23"/>
      <c r="H8" s="23"/>
      <c r="I8" s="23"/>
      <c r="J8" s="27">
        <f>J7/60</f>
        <v>0.16666666666666666</v>
      </c>
      <c r="K8" s="24" t="s">
        <v>48</v>
      </c>
      <c r="L8" s="27">
        <f>L7/60</f>
        <v>0.12254901960784313</v>
      </c>
      <c r="M8" s="24" t="s">
        <v>48</v>
      </c>
    </row>
    <row r="9" spans="1:3" ht="12.75">
      <c r="A9" s="29" t="s">
        <v>55</v>
      </c>
      <c r="C9" t="s">
        <v>82</v>
      </c>
    </row>
    <row r="10" ht="13.5" thickBot="1"/>
    <row r="11" spans="1:11" ht="12.75">
      <c r="A11" t="s">
        <v>56</v>
      </c>
      <c r="J11" s="25">
        <v>3.5</v>
      </c>
      <c r="K11" s="16" t="s">
        <v>31</v>
      </c>
    </row>
    <row r="12" spans="1:12" ht="12.75">
      <c r="A12">
        <v>3.5</v>
      </c>
      <c r="B12" t="s">
        <v>31</v>
      </c>
      <c r="J12" s="26">
        <v>14</v>
      </c>
      <c r="K12" s="20" t="s">
        <v>46</v>
      </c>
      <c r="L12" t="s">
        <v>52</v>
      </c>
    </row>
    <row r="13" spans="1:11" ht="12.75">
      <c r="A13">
        <v>5</v>
      </c>
      <c r="B13" t="s">
        <v>45</v>
      </c>
      <c r="C13" t="s">
        <v>80</v>
      </c>
      <c r="J13" s="28">
        <f>J11/4.2/J12*60</f>
        <v>3.571428571428571</v>
      </c>
      <c r="K13" s="20" t="s">
        <v>47</v>
      </c>
    </row>
    <row r="14" spans="1:11" ht="13.5" thickBot="1">
      <c r="A14">
        <v>3.5</v>
      </c>
      <c r="B14" t="s">
        <v>50</v>
      </c>
      <c r="C14" t="s">
        <v>57</v>
      </c>
      <c r="J14" s="27">
        <f>J13/60</f>
        <v>0.05952380952380952</v>
      </c>
      <c r="K14" s="24" t="s">
        <v>48</v>
      </c>
    </row>
    <row r="15" spans="1:11" ht="13.5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3" ht="12.75">
      <c r="A16" t="s">
        <v>73</v>
      </c>
      <c r="C16" t="s">
        <v>83</v>
      </c>
    </row>
    <row r="17" ht="13.5" thickBot="1"/>
    <row r="18" spans="1:11" ht="12.75">
      <c r="A18" t="s">
        <v>51</v>
      </c>
      <c r="J18" s="25">
        <v>3.5</v>
      </c>
      <c r="K18" s="16" t="s">
        <v>31</v>
      </c>
    </row>
    <row r="19" spans="1:11" ht="12.75">
      <c r="A19">
        <v>3.5</v>
      </c>
      <c r="B19" t="s">
        <v>31</v>
      </c>
      <c r="J19" s="26">
        <v>18</v>
      </c>
      <c r="K19" s="20" t="s">
        <v>46</v>
      </c>
    </row>
    <row r="20" spans="1:11" ht="12.75">
      <c r="A20">
        <v>5</v>
      </c>
      <c r="B20" t="s">
        <v>45</v>
      </c>
      <c r="J20" s="28">
        <f>J18/4.2/J19*60</f>
        <v>2.7777777777777777</v>
      </c>
      <c r="K20" s="20" t="s">
        <v>47</v>
      </c>
    </row>
    <row r="21" spans="1:11" ht="13.5" thickBot="1">
      <c r="A21">
        <v>2.75</v>
      </c>
      <c r="B21" t="s">
        <v>50</v>
      </c>
      <c r="C21" t="s">
        <v>57</v>
      </c>
      <c r="J21" s="27">
        <f>J20/60</f>
        <v>0.046296296296296294</v>
      </c>
      <c r="K21" s="24" t="s">
        <v>48</v>
      </c>
    </row>
    <row r="22" spans="1:11" ht="13.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2.75">
      <c r="A23" s="19" t="s">
        <v>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ht="12.75">
      <c r="A24" t="s">
        <v>64</v>
      </c>
    </row>
    <row r="25" ht="12.75">
      <c r="A25" t="s">
        <v>59</v>
      </c>
    </row>
    <row r="27" spans="1:4" ht="12.75">
      <c r="A27" t="s">
        <v>60</v>
      </c>
      <c r="C27">
        <v>10</v>
      </c>
      <c r="D27" t="s">
        <v>44</v>
      </c>
    </row>
    <row r="28" spans="3:4" ht="12.75">
      <c r="C28">
        <v>5</v>
      </c>
      <c r="D28" t="s">
        <v>61</v>
      </c>
    </row>
    <row r="29" spans="3:4" ht="12.75">
      <c r="C29">
        <v>2</v>
      </c>
      <c r="D29" t="s">
        <v>62</v>
      </c>
    </row>
    <row r="31" ht="12.75">
      <c r="A31" t="s">
        <v>63</v>
      </c>
    </row>
    <row r="32" spans="1:3" ht="12.75">
      <c r="A32">
        <f>A14/5</f>
        <v>0.7</v>
      </c>
      <c r="B32" t="s">
        <v>31</v>
      </c>
      <c r="C32" t="s">
        <v>65</v>
      </c>
    </row>
    <row r="33" spans="1:2" ht="12.75">
      <c r="A33">
        <v>2</v>
      </c>
      <c r="B33" t="s">
        <v>66</v>
      </c>
    </row>
    <row r="34" spans="1:8" ht="12.75">
      <c r="A34">
        <v>1.6</v>
      </c>
      <c r="B34" t="s">
        <v>45</v>
      </c>
      <c r="C34" t="s">
        <v>67</v>
      </c>
      <c r="H34" t="s">
        <v>84</v>
      </c>
    </row>
    <row r="36" ht="12.75">
      <c r="A36" t="s">
        <v>68</v>
      </c>
    </row>
    <row r="37" spans="1:11" ht="13.5" thickBo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ht="13.5" thickBot="1">
      <c r="A38" t="s">
        <v>81</v>
      </c>
    </row>
    <row r="39" spans="1:11" ht="12.75">
      <c r="A39" t="s">
        <v>69</v>
      </c>
      <c r="J39" s="25">
        <v>2</v>
      </c>
      <c r="K39" s="16" t="s">
        <v>31</v>
      </c>
    </row>
    <row r="40" spans="1:11" ht="12.75">
      <c r="A40">
        <v>3.5</v>
      </c>
      <c r="B40" t="s">
        <v>44</v>
      </c>
      <c r="J40" s="26">
        <v>8</v>
      </c>
      <c r="K40" s="20" t="s">
        <v>46</v>
      </c>
    </row>
    <row r="41" spans="1:11" ht="12.75">
      <c r="A41" t="s">
        <v>70</v>
      </c>
      <c r="J41" s="28">
        <f>J39/4.2/J40*60</f>
        <v>3.571428571428571</v>
      </c>
      <c r="K41" s="20" t="s">
        <v>47</v>
      </c>
    </row>
    <row r="42" spans="10:11" ht="13.5" thickBot="1">
      <c r="J42" s="27">
        <f>J41/60</f>
        <v>0.05952380952380952</v>
      </c>
      <c r="K42" s="24" t="s">
        <v>48</v>
      </c>
    </row>
    <row r="43" ht="12.75">
      <c r="A43" t="s">
        <v>71</v>
      </c>
    </row>
    <row r="44" ht="12.75">
      <c r="A44" t="s">
        <v>72</v>
      </c>
    </row>
    <row r="46" spans="1:11" ht="13.5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ht="12.75">
      <c r="A47" t="s">
        <v>85</v>
      </c>
    </row>
    <row r="48" ht="13.5" thickBot="1"/>
    <row r="49" spans="1:11" ht="12.75">
      <c r="A49" t="s">
        <v>56</v>
      </c>
      <c r="J49" s="25">
        <v>3.5</v>
      </c>
      <c r="K49" s="16" t="s">
        <v>31</v>
      </c>
    </row>
    <row r="50" spans="1:12" ht="12.75">
      <c r="A50">
        <v>3.5</v>
      </c>
      <c r="B50" t="s">
        <v>31</v>
      </c>
      <c r="J50" s="26">
        <v>9.5</v>
      </c>
      <c r="K50" s="20" t="s">
        <v>46</v>
      </c>
      <c r="L50" t="s">
        <v>88</v>
      </c>
    </row>
    <row r="51" spans="1:11" ht="12.75">
      <c r="A51">
        <v>10</v>
      </c>
      <c r="B51" t="s">
        <v>45</v>
      </c>
      <c r="C51" t="s">
        <v>86</v>
      </c>
      <c r="J51" s="28">
        <f>J49/4.2/J50*60</f>
        <v>5.263157894736842</v>
      </c>
      <c r="K51" s="20" t="s">
        <v>47</v>
      </c>
    </row>
    <row r="52" spans="1:11" ht="13.5" thickBot="1">
      <c r="A52">
        <v>5.2</v>
      </c>
      <c r="B52" t="s">
        <v>50</v>
      </c>
      <c r="C52" t="s">
        <v>87</v>
      </c>
      <c r="J52" s="27">
        <f>J51/60</f>
        <v>0.08771929824561403</v>
      </c>
      <c r="K52" s="24" t="s">
        <v>48</v>
      </c>
    </row>
    <row r="53" spans="1:11" ht="13.5" thickBo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5" spans="1:16" ht="12.75">
      <c r="A55" s="26"/>
      <c r="B55" s="37" t="s">
        <v>143</v>
      </c>
      <c r="C55" s="38">
        <v>120</v>
      </c>
      <c r="D55" s="19" t="s">
        <v>6</v>
      </c>
      <c r="E55" s="19" t="s">
        <v>144</v>
      </c>
      <c r="F55" s="38">
        <v>16</v>
      </c>
      <c r="G55" s="19" t="s">
        <v>145</v>
      </c>
      <c r="H55" s="19" t="s">
        <v>146</v>
      </c>
      <c r="I55" s="19"/>
      <c r="J55" s="38">
        <v>2</v>
      </c>
      <c r="K55" s="19" t="s">
        <v>145</v>
      </c>
      <c r="L55" s="19" t="s">
        <v>147</v>
      </c>
      <c r="M55" s="39">
        <v>3.25</v>
      </c>
      <c r="N55" s="29" t="s">
        <v>148</v>
      </c>
      <c r="O55" s="40">
        <v>44746.81298218148</v>
      </c>
      <c r="P55" s="29" t="s">
        <v>149</v>
      </c>
    </row>
    <row r="56" spans="1:16" ht="12.75">
      <c r="A56" s="26"/>
      <c r="B56" s="19"/>
      <c r="C56" s="29"/>
      <c r="D56" s="29"/>
      <c r="E56" s="19"/>
      <c r="F56" s="19"/>
      <c r="G56" s="19"/>
      <c r="H56" s="19"/>
      <c r="I56" s="148" t="s">
        <v>320</v>
      </c>
      <c r="J56" s="29">
        <f>F55-2*J55</f>
        <v>12</v>
      </c>
      <c r="K56" s="19" t="s">
        <v>145</v>
      </c>
      <c r="L56" s="19"/>
      <c r="M56" s="149">
        <f>M55/1000*dens/60</f>
        <v>0.00052</v>
      </c>
      <c r="N56" s="29" t="s">
        <v>321</v>
      </c>
      <c r="O56" s="41">
        <v>0.4474681298218148</v>
      </c>
      <c r="P56" s="19" t="s">
        <v>150</v>
      </c>
    </row>
    <row r="57" spans="15:16" ht="13.5" thickBot="1">
      <c r="O57" s="42">
        <v>4.474681298218147</v>
      </c>
      <c r="P57" s="23" t="s">
        <v>151</v>
      </c>
    </row>
    <row r="58" spans="1:16" ht="13.5" thickBot="1">
      <c r="A58" t="s">
        <v>322</v>
      </c>
      <c r="O58" s="49">
        <v>44.746812982181474</v>
      </c>
      <c r="P58" t="s">
        <v>218</v>
      </c>
    </row>
    <row r="60" spans="1:5" ht="12.75">
      <c r="A60" t="s">
        <v>263</v>
      </c>
      <c r="B60">
        <v>1.2</v>
      </c>
      <c r="C60" t="s">
        <v>31</v>
      </c>
      <c r="E60" t="s">
        <v>323</v>
      </c>
    </row>
    <row r="61" spans="1:5" ht="12.75">
      <c r="A61" t="s">
        <v>264</v>
      </c>
      <c r="B61">
        <v>4.2</v>
      </c>
      <c r="C61" t="s">
        <v>141</v>
      </c>
      <c r="E61" t="s">
        <v>324</v>
      </c>
    </row>
    <row r="62" spans="1:2" ht="12.75">
      <c r="A62" t="s">
        <v>142</v>
      </c>
      <c r="B62">
        <v>5</v>
      </c>
    </row>
    <row r="63" spans="1:3" ht="12.75">
      <c r="A63" t="s">
        <v>138</v>
      </c>
      <c r="B63">
        <f>B60/B61/B62</f>
        <v>0.05714285714285714</v>
      </c>
      <c r="C63" t="s">
        <v>10</v>
      </c>
    </row>
    <row r="64" spans="2:3" ht="12.75">
      <c r="B64">
        <f>B63*60</f>
        <v>3.4285714285714284</v>
      </c>
      <c r="C64" t="s">
        <v>44</v>
      </c>
    </row>
    <row r="65" spans="1:3" ht="12.75">
      <c r="A65" t="s">
        <v>138</v>
      </c>
      <c r="B65">
        <f>B63*3.6</f>
        <v>0.2057142857142857</v>
      </c>
      <c r="C65" t="s">
        <v>17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1">
      <selection activeCell="B34" sqref="B34:D38"/>
    </sheetView>
  </sheetViews>
  <sheetFormatPr defaultColWidth="9.140625" defaultRowHeight="12.75"/>
  <cols>
    <col min="2" max="2" width="15.8515625" style="0" customWidth="1"/>
  </cols>
  <sheetData>
    <row r="1" ht="12.75">
      <c r="B1" t="s">
        <v>89</v>
      </c>
    </row>
    <row r="3" spans="2:4" ht="12.75">
      <c r="B3" t="s">
        <v>0</v>
      </c>
      <c r="C3">
        <v>60</v>
      </c>
      <c r="D3" t="s">
        <v>1</v>
      </c>
    </row>
    <row r="4" spans="2:3" ht="12.75">
      <c r="B4" t="s">
        <v>29</v>
      </c>
      <c r="C4">
        <v>50</v>
      </c>
    </row>
    <row r="5" spans="2:4" ht="12.75">
      <c r="B5" t="s">
        <v>30</v>
      </c>
      <c r="C5">
        <f>C3*C4/1000</f>
        <v>3</v>
      </c>
      <c r="D5" t="s">
        <v>31</v>
      </c>
    </row>
    <row r="6" spans="2:3" ht="12.75">
      <c r="B6" t="s">
        <v>2</v>
      </c>
      <c r="C6">
        <v>200</v>
      </c>
    </row>
    <row r="7" spans="2:4" ht="12.75">
      <c r="B7" t="s">
        <v>3</v>
      </c>
      <c r="C7">
        <v>5</v>
      </c>
      <c r="D7" t="s">
        <v>4</v>
      </c>
    </row>
    <row r="8" spans="2:4" ht="12.75">
      <c r="B8" t="s">
        <v>5</v>
      </c>
      <c r="C8">
        <f>C3*C7</f>
        <v>300</v>
      </c>
      <c r="D8" t="s">
        <v>6</v>
      </c>
    </row>
    <row r="9" spans="2:4" ht="12.75">
      <c r="B9" t="s">
        <v>7</v>
      </c>
      <c r="C9">
        <v>100</v>
      </c>
      <c r="D9" t="s">
        <v>6</v>
      </c>
    </row>
    <row r="10" spans="11:14" s="10" customFormat="1" ht="25.5">
      <c r="K10" s="10" t="s">
        <v>16</v>
      </c>
      <c r="M10" s="10" t="s">
        <v>18</v>
      </c>
      <c r="N10" s="10" t="s">
        <v>21</v>
      </c>
    </row>
    <row r="11" spans="3:12" ht="12.75">
      <c r="C11" s="1" t="s">
        <v>8</v>
      </c>
      <c r="D11" s="1" t="s">
        <v>9</v>
      </c>
      <c r="E11" s="1" t="s">
        <v>10</v>
      </c>
      <c r="F11" s="2" t="s">
        <v>11</v>
      </c>
      <c r="G11" s="2" t="s">
        <v>12</v>
      </c>
      <c r="H11" s="2" t="s">
        <v>13</v>
      </c>
      <c r="K11" s="9" t="s">
        <v>10</v>
      </c>
      <c r="L11" s="9" t="s">
        <v>17</v>
      </c>
    </row>
    <row r="12" spans="3:14" ht="12.75">
      <c r="C12" s="3">
        <v>0.56</v>
      </c>
      <c r="D12" s="4">
        <f>+C12*3.66</f>
        <v>2.0496000000000003</v>
      </c>
      <c r="E12" s="4">
        <f>+C12*0.28</f>
        <v>0.15680000000000002</v>
      </c>
      <c r="F12" s="2">
        <v>6</v>
      </c>
      <c r="G12" s="3">
        <f>E12</f>
        <v>0.15680000000000002</v>
      </c>
      <c r="H12" s="4">
        <f>+F12/G12/4.2</f>
        <v>9.11078717201166</v>
      </c>
      <c r="I12" t="s">
        <v>14</v>
      </c>
      <c r="K12" s="7">
        <f>E12/3</f>
        <v>0.05226666666666668</v>
      </c>
      <c r="L12">
        <f>C12/3</f>
        <v>0.18666666666666668</v>
      </c>
      <c r="M12" t="s">
        <v>19</v>
      </c>
      <c r="N12" t="s">
        <v>22</v>
      </c>
    </row>
    <row r="14" spans="3:8" ht="12.75">
      <c r="C14" s="1" t="s">
        <v>8</v>
      </c>
      <c r="D14" s="1" t="s">
        <v>9</v>
      </c>
      <c r="E14" s="1" t="s">
        <v>10</v>
      </c>
      <c r="F14" s="2" t="s">
        <v>11</v>
      </c>
      <c r="G14" s="2" t="s">
        <v>12</v>
      </c>
      <c r="H14" s="2" t="s">
        <v>13</v>
      </c>
    </row>
    <row r="15" spans="3:14" ht="12.75">
      <c r="C15" s="5">
        <v>0.24</v>
      </c>
      <c r="D15" s="4">
        <f>+C15*3.66</f>
        <v>0.8784</v>
      </c>
      <c r="E15" s="4">
        <f>+C15*0.28</f>
        <v>0.06720000000000001</v>
      </c>
      <c r="F15" s="2">
        <v>6</v>
      </c>
      <c r="G15" s="3">
        <f>E15</f>
        <v>0.06720000000000001</v>
      </c>
      <c r="H15" s="4">
        <f>+F15/G15/4.2</f>
        <v>21.258503401360542</v>
      </c>
      <c r="I15" t="s">
        <v>15</v>
      </c>
      <c r="K15" s="6">
        <f>E15</f>
        <v>0.06720000000000001</v>
      </c>
      <c r="L15" s="8">
        <f>C15</f>
        <v>0.24</v>
      </c>
      <c r="M15" t="s">
        <v>20</v>
      </c>
      <c r="N15" t="s">
        <v>23</v>
      </c>
    </row>
    <row r="17" ht="12.75">
      <c r="B17" t="s">
        <v>24</v>
      </c>
    </row>
    <row r="19" ht="12.75">
      <c r="B19" t="s">
        <v>25</v>
      </c>
    </row>
    <row r="21" ht="12.75">
      <c r="B21" t="s">
        <v>26</v>
      </c>
    </row>
    <row r="22" ht="12.75">
      <c r="B22" t="s">
        <v>27</v>
      </c>
    </row>
    <row r="24" ht="12.75">
      <c r="B24" t="s">
        <v>28</v>
      </c>
    </row>
    <row r="26" ht="12.75">
      <c r="B26" t="s">
        <v>32</v>
      </c>
    </row>
    <row r="27" ht="12.75">
      <c r="B27" t="s">
        <v>33</v>
      </c>
    </row>
    <row r="29" ht="12.75">
      <c r="B29" t="s">
        <v>34</v>
      </c>
    </row>
    <row r="31" ht="12.75">
      <c r="B31" t="s">
        <v>35</v>
      </c>
    </row>
    <row r="34" spans="2:4" ht="12.75">
      <c r="B34" t="s">
        <v>263</v>
      </c>
      <c r="C34">
        <v>2</v>
      </c>
      <c r="D34" t="s">
        <v>31</v>
      </c>
    </row>
    <row r="35" spans="2:4" ht="12.75">
      <c r="B35" t="s">
        <v>264</v>
      </c>
      <c r="C35">
        <v>4.2</v>
      </c>
      <c r="D35" t="s">
        <v>141</v>
      </c>
    </row>
    <row r="36" spans="2:3" ht="12.75">
      <c r="B36" t="s">
        <v>142</v>
      </c>
      <c r="C36">
        <v>5</v>
      </c>
    </row>
    <row r="37" spans="2:4" ht="12.75">
      <c r="B37" t="s">
        <v>138</v>
      </c>
      <c r="C37">
        <f>C34/C35/C36</f>
        <v>0.09523809523809523</v>
      </c>
      <c r="D37" t="s">
        <v>10</v>
      </c>
    </row>
    <row r="38" spans="2:4" ht="12.75">
      <c r="B38" t="s">
        <v>138</v>
      </c>
      <c r="C38">
        <f>C37*3.6</f>
        <v>0.34285714285714286</v>
      </c>
      <c r="D38" t="s">
        <v>17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0">
      <selection activeCell="I44" sqref="I44"/>
    </sheetView>
  </sheetViews>
  <sheetFormatPr defaultColWidth="9.140625" defaultRowHeight="12.75"/>
  <cols>
    <col min="1" max="6" width="11.421875" style="0" customWidth="1"/>
  </cols>
  <sheetData>
    <row r="1" spans="1:6" ht="12.7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</row>
    <row r="2" spans="1:6" ht="13.5" thickBot="1">
      <c r="A2" s="11">
        <v>39961</v>
      </c>
      <c r="B2" s="12">
        <v>0.49375</v>
      </c>
      <c r="C2">
        <v>16.5</v>
      </c>
      <c r="D2">
        <v>16.5</v>
      </c>
      <c r="E2">
        <v>17</v>
      </c>
      <c r="F2">
        <v>17</v>
      </c>
    </row>
    <row r="3" spans="1:7" ht="12.75">
      <c r="A3" s="13">
        <v>39961</v>
      </c>
      <c r="B3" s="14">
        <v>0.49583333333333335</v>
      </c>
      <c r="C3" s="15">
        <v>16</v>
      </c>
      <c r="D3" s="15">
        <v>16</v>
      </c>
      <c r="E3" s="15">
        <v>16.5</v>
      </c>
      <c r="F3" s="16">
        <v>16.5</v>
      </c>
      <c r="G3">
        <f aca="true" t="shared" si="0" ref="G3:G27">C3-D3</f>
        <v>0</v>
      </c>
    </row>
    <row r="4" spans="1:7" ht="12.75">
      <c r="A4" s="17">
        <v>39961</v>
      </c>
      <c r="B4" s="18">
        <v>0.4979166666666666</v>
      </c>
      <c r="C4" s="19">
        <v>23.5</v>
      </c>
      <c r="D4" s="19">
        <v>16</v>
      </c>
      <c r="E4" s="19">
        <v>16.5</v>
      </c>
      <c r="F4" s="20">
        <v>24.5</v>
      </c>
      <c r="G4">
        <f t="shared" si="0"/>
        <v>7.5</v>
      </c>
    </row>
    <row r="5" spans="1:7" ht="12.75">
      <c r="A5" s="17">
        <v>39961</v>
      </c>
      <c r="B5" s="18">
        <v>0.5</v>
      </c>
      <c r="C5" s="19">
        <v>25</v>
      </c>
      <c r="D5" s="19">
        <v>16.5</v>
      </c>
      <c r="E5" s="19">
        <v>17</v>
      </c>
      <c r="F5" s="20">
        <v>26</v>
      </c>
      <c r="G5">
        <f t="shared" si="0"/>
        <v>8.5</v>
      </c>
    </row>
    <row r="6" spans="1:7" ht="12.75">
      <c r="A6" s="17">
        <v>39961</v>
      </c>
      <c r="B6" s="18">
        <v>0.5020833333333333</v>
      </c>
      <c r="C6" s="19">
        <v>25.5</v>
      </c>
      <c r="D6" s="19">
        <v>17</v>
      </c>
      <c r="E6" s="19">
        <v>17.5</v>
      </c>
      <c r="F6" s="20">
        <v>27</v>
      </c>
      <c r="G6">
        <f t="shared" si="0"/>
        <v>8.5</v>
      </c>
    </row>
    <row r="7" spans="1:7" ht="12.75">
      <c r="A7" s="17">
        <v>39961</v>
      </c>
      <c r="B7" s="18">
        <v>0.5041666666666667</v>
      </c>
      <c r="C7" s="19">
        <v>26.5</v>
      </c>
      <c r="D7" s="19">
        <v>17.5</v>
      </c>
      <c r="E7" s="19">
        <v>18</v>
      </c>
      <c r="F7" s="20">
        <v>27.5</v>
      </c>
      <c r="G7">
        <f t="shared" si="0"/>
        <v>9</v>
      </c>
    </row>
    <row r="8" spans="1:7" ht="12.75">
      <c r="A8" s="17">
        <v>39961</v>
      </c>
      <c r="B8" s="18">
        <v>0.50625</v>
      </c>
      <c r="C8" s="19">
        <v>27</v>
      </c>
      <c r="D8" s="19">
        <v>18</v>
      </c>
      <c r="E8" s="19">
        <v>18.5</v>
      </c>
      <c r="F8" s="20">
        <v>28</v>
      </c>
      <c r="G8">
        <f t="shared" si="0"/>
        <v>9</v>
      </c>
    </row>
    <row r="9" spans="1:7" ht="12.75">
      <c r="A9" s="17">
        <v>39961</v>
      </c>
      <c r="B9" s="18">
        <v>0.5083333333333333</v>
      </c>
      <c r="C9" s="19">
        <v>27</v>
      </c>
      <c r="D9" s="19">
        <v>18.5</v>
      </c>
      <c r="E9" s="19">
        <v>19</v>
      </c>
      <c r="F9" s="20">
        <v>28.5</v>
      </c>
      <c r="G9">
        <f t="shared" si="0"/>
        <v>8.5</v>
      </c>
    </row>
    <row r="10" spans="1:7" ht="12.75">
      <c r="A10" s="17">
        <v>39961</v>
      </c>
      <c r="B10" s="18">
        <v>0.5104166666666666</v>
      </c>
      <c r="C10" s="19">
        <v>27.5</v>
      </c>
      <c r="D10" s="19">
        <v>18.5</v>
      </c>
      <c r="E10" s="19">
        <v>19</v>
      </c>
      <c r="F10" s="20">
        <v>28.5</v>
      </c>
      <c r="G10">
        <f t="shared" si="0"/>
        <v>9</v>
      </c>
    </row>
    <row r="11" spans="1:7" ht="12.75">
      <c r="A11" s="17">
        <v>39961</v>
      </c>
      <c r="B11" s="18">
        <v>0.5125</v>
      </c>
      <c r="C11" s="19">
        <v>27.5</v>
      </c>
      <c r="D11" s="19">
        <v>19</v>
      </c>
      <c r="E11" s="19">
        <v>19.5</v>
      </c>
      <c r="F11" s="20">
        <v>29</v>
      </c>
      <c r="G11">
        <f t="shared" si="0"/>
        <v>8.5</v>
      </c>
    </row>
    <row r="12" spans="1:7" ht="12.75">
      <c r="A12" s="17">
        <v>39961</v>
      </c>
      <c r="B12" s="18">
        <v>0.5145833333333333</v>
      </c>
      <c r="C12" s="19">
        <v>28</v>
      </c>
      <c r="D12" s="19">
        <v>19</v>
      </c>
      <c r="E12" s="19">
        <v>19.5</v>
      </c>
      <c r="F12" s="20">
        <v>29</v>
      </c>
      <c r="G12">
        <f t="shared" si="0"/>
        <v>9</v>
      </c>
    </row>
    <row r="13" spans="1:7" ht="12.75">
      <c r="A13" s="17">
        <v>39961</v>
      </c>
      <c r="B13" s="18">
        <v>0.5166666666666667</v>
      </c>
      <c r="C13" s="19">
        <v>28</v>
      </c>
      <c r="D13" s="19">
        <v>19</v>
      </c>
      <c r="E13" s="19">
        <v>19.5</v>
      </c>
      <c r="F13" s="20">
        <v>29</v>
      </c>
      <c r="G13">
        <f t="shared" si="0"/>
        <v>9</v>
      </c>
    </row>
    <row r="14" spans="1:7" ht="12.75">
      <c r="A14" s="17">
        <v>39961</v>
      </c>
      <c r="B14" s="18">
        <v>0.51875</v>
      </c>
      <c r="C14" s="19">
        <v>28.5</v>
      </c>
      <c r="D14" s="19">
        <v>19.5</v>
      </c>
      <c r="E14" s="19">
        <v>20</v>
      </c>
      <c r="F14" s="20">
        <v>29.5</v>
      </c>
      <c r="G14">
        <f t="shared" si="0"/>
        <v>9</v>
      </c>
    </row>
    <row r="15" spans="1:7" ht="12.75">
      <c r="A15" s="17">
        <v>39961</v>
      </c>
      <c r="B15" s="18">
        <v>0.5208333333333334</v>
      </c>
      <c r="C15" s="19">
        <v>28.5</v>
      </c>
      <c r="D15" s="19">
        <v>19.5</v>
      </c>
      <c r="E15" s="19">
        <v>20</v>
      </c>
      <c r="F15" s="20">
        <v>29.5</v>
      </c>
      <c r="G15">
        <f t="shared" si="0"/>
        <v>9</v>
      </c>
    </row>
    <row r="16" spans="1:7" ht="12.75">
      <c r="A16" s="17">
        <v>39961</v>
      </c>
      <c r="B16" s="18">
        <v>0.5229166666666667</v>
      </c>
      <c r="C16" s="19">
        <v>28.5</v>
      </c>
      <c r="D16" s="19">
        <v>19.5</v>
      </c>
      <c r="E16" s="19">
        <v>20</v>
      </c>
      <c r="F16" s="20">
        <v>29.5</v>
      </c>
      <c r="G16">
        <f t="shared" si="0"/>
        <v>9</v>
      </c>
    </row>
    <row r="17" spans="1:7" ht="12.75">
      <c r="A17" s="17">
        <v>39961</v>
      </c>
      <c r="B17" s="18">
        <v>0.525</v>
      </c>
      <c r="C17" s="19">
        <v>28.5</v>
      </c>
      <c r="D17" s="19">
        <v>20</v>
      </c>
      <c r="E17" s="19">
        <v>20</v>
      </c>
      <c r="F17" s="20">
        <v>29.5</v>
      </c>
      <c r="G17">
        <f t="shared" si="0"/>
        <v>8.5</v>
      </c>
    </row>
    <row r="18" spans="1:7" ht="12.75">
      <c r="A18" s="17">
        <v>39961</v>
      </c>
      <c r="B18" s="18">
        <v>0.5270833333333333</v>
      </c>
      <c r="C18" s="19">
        <v>29</v>
      </c>
      <c r="D18" s="19">
        <v>20</v>
      </c>
      <c r="E18" s="19">
        <v>20.5</v>
      </c>
      <c r="F18" s="20">
        <v>30</v>
      </c>
      <c r="G18">
        <f t="shared" si="0"/>
        <v>9</v>
      </c>
    </row>
    <row r="19" spans="1:7" ht="12.75">
      <c r="A19" s="17">
        <v>39961</v>
      </c>
      <c r="B19" s="18">
        <v>0.5291666666666667</v>
      </c>
      <c r="C19" s="19">
        <v>29</v>
      </c>
      <c r="D19" s="19">
        <v>20</v>
      </c>
      <c r="E19" s="19">
        <v>20.5</v>
      </c>
      <c r="F19" s="20">
        <v>30</v>
      </c>
      <c r="G19">
        <f t="shared" si="0"/>
        <v>9</v>
      </c>
    </row>
    <row r="20" spans="1:7" ht="12.75">
      <c r="A20" s="17">
        <v>39961</v>
      </c>
      <c r="B20" s="18">
        <v>0.53125</v>
      </c>
      <c r="C20" s="19">
        <v>29</v>
      </c>
      <c r="D20" s="19">
        <v>20</v>
      </c>
      <c r="E20" s="19">
        <v>20.5</v>
      </c>
      <c r="F20" s="20">
        <v>30</v>
      </c>
      <c r="G20">
        <f t="shared" si="0"/>
        <v>9</v>
      </c>
    </row>
    <row r="21" spans="1:7" ht="12.75">
      <c r="A21" s="17">
        <v>39961</v>
      </c>
      <c r="B21" s="18">
        <v>0.5333333333333333</v>
      </c>
      <c r="C21" s="19">
        <v>29</v>
      </c>
      <c r="D21" s="19">
        <v>20</v>
      </c>
      <c r="E21" s="19">
        <v>20.5</v>
      </c>
      <c r="F21" s="20">
        <v>30.5</v>
      </c>
      <c r="G21">
        <f t="shared" si="0"/>
        <v>9</v>
      </c>
    </row>
    <row r="22" spans="1:7" ht="12.75">
      <c r="A22" s="17">
        <v>39961</v>
      </c>
      <c r="B22" s="18">
        <v>0.5354166666666667</v>
      </c>
      <c r="C22" s="19">
        <v>29.5</v>
      </c>
      <c r="D22" s="19">
        <v>20.5</v>
      </c>
      <c r="E22" s="19">
        <v>21</v>
      </c>
      <c r="F22" s="20">
        <v>30.5</v>
      </c>
      <c r="G22">
        <f t="shared" si="0"/>
        <v>9</v>
      </c>
    </row>
    <row r="23" spans="1:7" ht="12.75">
      <c r="A23" s="17">
        <v>39961</v>
      </c>
      <c r="B23" s="18">
        <v>0.5375</v>
      </c>
      <c r="C23" s="19">
        <v>29.5</v>
      </c>
      <c r="D23" s="19">
        <v>20.5</v>
      </c>
      <c r="E23" s="19">
        <v>21</v>
      </c>
      <c r="F23" s="20">
        <v>30.5</v>
      </c>
      <c r="G23">
        <f t="shared" si="0"/>
        <v>9</v>
      </c>
    </row>
    <row r="24" spans="1:7" ht="12.75">
      <c r="A24" s="17">
        <v>39961</v>
      </c>
      <c r="B24" s="18">
        <v>0.5395833333333333</v>
      </c>
      <c r="C24" s="19">
        <v>29.5</v>
      </c>
      <c r="D24" s="19">
        <v>20.5</v>
      </c>
      <c r="E24" s="19">
        <v>21</v>
      </c>
      <c r="F24" s="20">
        <v>30.5</v>
      </c>
      <c r="G24">
        <f t="shared" si="0"/>
        <v>9</v>
      </c>
    </row>
    <row r="25" spans="1:7" ht="12.75">
      <c r="A25" s="17">
        <v>39961</v>
      </c>
      <c r="B25" s="18">
        <v>0.5416666666666666</v>
      </c>
      <c r="C25" s="19">
        <v>29.5</v>
      </c>
      <c r="D25" s="19">
        <v>20.5</v>
      </c>
      <c r="E25" s="19">
        <v>21</v>
      </c>
      <c r="F25" s="20">
        <v>31</v>
      </c>
      <c r="G25">
        <f t="shared" si="0"/>
        <v>9</v>
      </c>
    </row>
    <row r="26" spans="1:7" ht="12.75">
      <c r="A26" s="17">
        <v>39961</v>
      </c>
      <c r="B26" s="18">
        <v>0.54375</v>
      </c>
      <c r="C26" s="19">
        <v>30</v>
      </c>
      <c r="D26" s="19">
        <v>21</v>
      </c>
      <c r="E26" s="19">
        <v>21</v>
      </c>
      <c r="F26" s="20">
        <v>31</v>
      </c>
      <c r="G26">
        <f t="shared" si="0"/>
        <v>9</v>
      </c>
    </row>
    <row r="27" spans="1:7" ht="13.5" thickBot="1">
      <c r="A27" s="21">
        <v>39961</v>
      </c>
      <c r="B27" s="22">
        <v>0.5458333333333333</v>
      </c>
      <c r="C27" s="23">
        <v>31</v>
      </c>
      <c r="D27" s="23">
        <v>21</v>
      </c>
      <c r="E27" s="23">
        <v>21.5</v>
      </c>
      <c r="F27" s="24">
        <v>31</v>
      </c>
      <c r="G27">
        <f t="shared" si="0"/>
        <v>10</v>
      </c>
    </row>
    <row r="28" spans="1:6" ht="12.75">
      <c r="A28" s="11">
        <v>39961</v>
      </c>
      <c r="B28" s="12">
        <v>0.5479166666666667</v>
      </c>
      <c r="C28">
        <v>31</v>
      </c>
      <c r="D28">
        <v>22</v>
      </c>
      <c r="E28">
        <v>21.5</v>
      </c>
      <c r="F28">
        <v>30.5</v>
      </c>
    </row>
    <row r="29" spans="1:2" ht="12.75">
      <c r="A29" s="11">
        <v>39961</v>
      </c>
      <c r="B29" s="12"/>
    </row>
    <row r="30" spans="1:2" ht="12.75">
      <c r="A30" s="11">
        <v>39962</v>
      </c>
      <c r="B30" s="12">
        <v>0.24166666666666667</v>
      </c>
    </row>
    <row r="31" spans="1:6" ht="13.5" thickBot="1">
      <c r="A31" s="11">
        <v>39962</v>
      </c>
      <c r="B31" s="12">
        <v>0.24375</v>
      </c>
      <c r="C31">
        <v>19</v>
      </c>
      <c r="D31">
        <v>17</v>
      </c>
      <c r="E31">
        <v>17</v>
      </c>
      <c r="F31">
        <v>17</v>
      </c>
    </row>
    <row r="32" spans="1:6" ht="12.75">
      <c r="A32" s="13">
        <v>39962</v>
      </c>
      <c r="B32" s="14">
        <v>0.24583333333333335</v>
      </c>
      <c r="C32" s="15">
        <v>19</v>
      </c>
      <c r="D32" s="15">
        <v>17</v>
      </c>
      <c r="E32" s="15">
        <v>17</v>
      </c>
      <c r="F32" s="16">
        <v>17</v>
      </c>
    </row>
    <row r="33" spans="1:7" ht="12.75">
      <c r="A33" s="17">
        <v>39962</v>
      </c>
      <c r="B33" s="18">
        <v>0.24791666666666667</v>
      </c>
      <c r="C33" s="19">
        <v>19</v>
      </c>
      <c r="D33" s="19">
        <v>17</v>
      </c>
      <c r="E33" s="19">
        <v>17</v>
      </c>
      <c r="F33" s="20">
        <v>17</v>
      </c>
      <c r="G33">
        <f aca="true" t="shared" si="1" ref="G33:G56">C33-D33</f>
        <v>2</v>
      </c>
    </row>
    <row r="34" spans="1:7" ht="12.75">
      <c r="A34" s="17">
        <v>39962</v>
      </c>
      <c r="B34" s="18">
        <v>0.25</v>
      </c>
      <c r="C34" s="19">
        <v>17.5</v>
      </c>
      <c r="D34" s="19">
        <v>16.5</v>
      </c>
      <c r="E34" s="19">
        <v>17</v>
      </c>
      <c r="F34" s="20">
        <v>17.5</v>
      </c>
      <c r="G34">
        <f t="shared" si="1"/>
        <v>1</v>
      </c>
    </row>
    <row r="35" spans="1:7" ht="12.75">
      <c r="A35" s="17">
        <v>39962</v>
      </c>
      <c r="B35" s="18">
        <v>0.2520833333333333</v>
      </c>
      <c r="C35" s="19">
        <v>33</v>
      </c>
      <c r="D35" s="19">
        <v>16.5</v>
      </c>
      <c r="E35" s="19">
        <v>17</v>
      </c>
      <c r="F35" s="20">
        <v>32</v>
      </c>
      <c r="G35">
        <f t="shared" si="1"/>
        <v>16.5</v>
      </c>
    </row>
    <row r="36" spans="1:7" ht="12.75">
      <c r="A36" s="17">
        <v>39962</v>
      </c>
      <c r="B36" s="18">
        <v>0.25416666666666665</v>
      </c>
      <c r="C36" s="19">
        <v>38.5</v>
      </c>
      <c r="D36" s="19">
        <v>17.5</v>
      </c>
      <c r="E36" s="19">
        <v>18.5</v>
      </c>
      <c r="F36" s="20">
        <v>40</v>
      </c>
      <c r="G36">
        <f t="shared" si="1"/>
        <v>21</v>
      </c>
    </row>
    <row r="37" spans="1:7" ht="12.75">
      <c r="A37" s="17">
        <v>39962</v>
      </c>
      <c r="B37" s="18">
        <v>0.25625</v>
      </c>
      <c r="C37" s="19">
        <v>42</v>
      </c>
      <c r="D37" s="19">
        <v>20.5</v>
      </c>
      <c r="E37" s="19">
        <v>21.5</v>
      </c>
      <c r="F37" s="20">
        <v>44</v>
      </c>
      <c r="G37">
        <f t="shared" si="1"/>
        <v>21.5</v>
      </c>
    </row>
    <row r="38" spans="1:7" ht="12.75">
      <c r="A38" s="17">
        <v>39962</v>
      </c>
      <c r="B38" s="18">
        <v>0.25833333333333336</v>
      </c>
      <c r="C38" s="19">
        <v>44.5</v>
      </c>
      <c r="D38" s="19">
        <v>22.5</v>
      </c>
      <c r="E38" s="19">
        <v>23.5</v>
      </c>
      <c r="F38" s="20">
        <v>46.5</v>
      </c>
      <c r="G38">
        <f t="shared" si="1"/>
        <v>22</v>
      </c>
    </row>
    <row r="39" spans="1:7" ht="12.75">
      <c r="A39" s="17">
        <v>39962</v>
      </c>
      <c r="B39" s="18">
        <v>0.2604166666666667</v>
      </c>
      <c r="C39" s="19">
        <v>43.5</v>
      </c>
      <c r="D39" s="19">
        <v>24</v>
      </c>
      <c r="E39" s="19">
        <v>25</v>
      </c>
      <c r="F39" s="20">
        <v>43.5</v>
      </c>
      <c r="G39">
        <f t="shared" si="1"/>
        <v>19.5</v>
      </c>
    </row>
    <row r="40" spans="1:7" ht="12.75">
      <c r="A40" s="17">
        <v>39962</v>
      </c>
      <c r="B40" s="18">
        <v>0.2625</v>
      </c>
      <c r="C40" s="19">
        <v>40.5</v>
      </c>
      <c r="D40" s="19">
        <v>25</v>
      </c>
      <c r="E40" s="19">
        <v>25.5</v>
      </c>
      <c r="F40" s="20">
        <v>44</v>
      </c>
      <c r="G40">
        <f t="shared" si="1"/>
        <v>15.5</v>
      </c>
    </row>
    <row r="41" spans="1:7" ht="12.75">
      <c r="A41" s="17">
        <v>39962</v>
      </c>
      <c r="B41" s="18">
        <v>0.26458333333333334</v>
      </c>
      <c r="C41" s="19">
        <v>43.5</v>
      </c>
      <c r="D41" s="19">
        <v>25</v>
      </c>
      <c r="E41" s="19">
        <v>26</v>
      </c>
      <c r="F41" s="20">
        <v>44.5</v>
      </c>
      <c r="G41">
        <f t="shared" si="1"/>
        <v>18.5</v>
      </c>
    </row>
    <row r="42" spans="1:7" ht="12.75">
      <c r="A42" s="17">
        <v>39962</v>
      </c>
      <c r="B42" s="18">
        <v>0.26666666666666666</v>
      </c>
      <c r="C42" s="19">
        <v>42</v>
      </c>
      <c r="D42" s="19">
        <v>25.5</v>
      </c>
      <c r="E42" s="19">
        <v>26.5</v>
      </c>
      <c r="F42" s="20">
        <v>42.5</v>
      </c>
      <c r="G42">
        <f t="shared" si="1"/>
        <v>16.5</v>
      </c>
    </row>
    <row r="43" spans="1:7" ht="12.75">
      <c r="A43" s="17">
        <v>39962</v>
      </c>
      <c r="B43" s="18">
        <v>0.26875</v>
      </c>
      <c r="C43" s="19">
        <v>40.5</v>
      </c>
      <c r="D43" s="19">
        <v>26</v>
      </c>
      <c r="E43" s="19">
        <v>27</v>
      </c>
      <c r="F43" s="20">
        <v>43.5</v>
      </c>
      <c r="G43">
        <f t="shared" si="1"/>
        <v>14.5</v>
      </c>
    </row>
    <row r="44" spans="1:7" ht="12.75">
      <c r="A44" s="17">
        <v>39962</v>
      </c>
      <c r="B44" s="18">
        <v>0.2708333333333333</v>
      </c>
      <c r="C44" s="19">
        <v>40.5</v>
      </c>
      <c r="D44" s="19">
        <v>26.5</v>
      </c>
      <c r="E44" s="19">
        <v>27.5</v>
      </c>
      <c r="F44" s="20">
        <v>44.5</v>
      </c>
      <c r="G44">
        <f t="shared" si="1"/>
        <v>14</v>
      </c>
    </row>
    <row r="45" spans="1:7" ht="12.75">
      <c r="A45" s="17">
        <v>39962</v>
      </c>
      <c r="B45" s="18">
        <v>0.27291666666666664</v>
      </c>
      <c r="C45" s="19">
        <v>40.5</v>
      </c>
      <c r="D45" s="19">
        <v>26.5</v>
      </c>
      <c r="E45" s="19">
        <v>27.5</v>
      </c>
      <c r="F45" s="20">
        <v>44.5</v>
      </c>
      <c r="G45">
        <f t="shared" si="1"/>
        <v>14</v>
      </c>
    </row>
    <row r="46" spans="1:7" ht="12.75">
      <c r="A46" s="17">
        <v>39962</v>
      </c>
      <c r="B46" s="18">
        <v>0.275</v>
      </c>
      <c r="C46" s="19">
        <v>40.5</v>
      </c>
      <c r="D46" s="19">
        <v>26.5</v>
      </c>
      <c r="E46" s="19">
        <v>27.5</v>
      </c>
      <c r="F46" s="20">
        <v>44.5</v>
      </c>
      <c r="G46">
        <f t="shared" si="1"/>
        <v>14</v>
      </c>
    </row>
    <row r="47" spans="1:7" ht="12.75">
      <c r="A47" s="17">
        <v>39962</v>
      </c>
      <c r="B47" s="18">
        <v>0.27708333333333335</v>
      </c>
      <c r="C47" s="19">
        <v>40.5</v>
      </c>
      <c r="D47" s="19">
        <v>27</v>
      </c>
      <c r="E47" s="19">
        <v>28</v>
      </c>
      <c r="F47" s="20">
        <v>44.5</v>
      </c>
      <c r="G47">
        <f t="shared" si="1"/>
        <v>13.5</v>
      </c>
    </row>
    <row r="48" spans="1:7" ht="12.75">
      <c r="A48" s="17">
        <v>39962</v>
      </c>
      <c r="B48" s="18">
        <v>0.2791666666666667</v>
      </c>
      <c r="C48" s="19">
        <v>40.5</v>
      </c>
      <c r="D48" s="19">
        <v>27</v>
      </c>
      <c r="E48" s="19">
        <v>28</v>
      </c>
      <c r="F48" s="20">
        <v>44.5</v>
      </c>
      <c r="G48">
        <f t="shared" si="1"/>
        <v>13.5</v>
      </c>
    </row>
    <row r="49" spans="1:7" ht="12.75">
      <c r="A49" s="17">
        <v>39962</v>
      </c>
      <c r="B49" s="18">
        <v>0.28125</v>
      </c>
      <c r="C49" s="19">
        <v>41</v>
      </c>
      <c r="D49" s="19">
        <v>27.5</v>
      </c>
      <c r="E49" s="19">
        <v>28.5</v>
      </c>
      <c r="F49" s="20">
        <v>44.5</v>
      </c>
      <c r="G49">
        <f t="shared" si="1"/>
        <v>13.5</v>
      </c>
    </row>
    <row r="50" spans="1:7" ht="12.75">
      <c r="A50" s="17">
        <v>39962</v>
      </c>
      <c r="B50" s="18">
        <v>0.2833333333333333</v>
      </c>
      <c r="C50" s="19">
        <v>40.5</v>
      </c>
      <c r="D50" s="19">
        <v>27.5</v>
      </c>
      <c r="E50" s="19">
        <v>28.5</v>
      </c>
      <c r="F50" s="20">
        <v>44.5</v>
      </c>
      <c r="G50">
        <f t="shared" si="1"/>
        <v>13</v>
      </c>
    </row>
    <row r="51" spans="1:7" ht="12.75">
      <c r="A51" s="17">
        <v>39962</v>
      </c>
      <c r="B51" s="18">
        <v>0.28541666666666665</v>
      </c>
      <c r="C51" s="19">
        <v>40.5</v>
      </c>
      <c r="D51" s="19">
        <v>27.5</v>
      </c>
      <c r="E51" s="19">
        <v>29</v>
      </c>
      <c r="F51" s="20">
        <v>44.5</v>
      </c>
      <c r="G51">
        <f t="shared" si="1"/>
        <v>13</v>
      </c>
    </row>
    <row r="52" spans="1:7" ht="12.75">
      <c r="A52" s="17">
        <v>39962</v>
      </c>
      <c r="B52" s="18">
        <v>0.2875</v>
      </c>
      <c r="C52" s="19">
        <v>40.5</v>
      </c>
      <c r="D52" s="19">
        <v>28</v>
      </c>
      <c r="E52" s="19">
        <v>29</v>
      </c>
      <c r="F52" s="20">
        <v>44.5</v>
      </c>
      <c r="G52">
        <f t="shared" si="1"/>
        <v>12.5</v>
      </c>
    </row>
    <row r="53" spans="1:7" ht="12.75">
      <c r="A53" s="17">
        <v>39962</v>
      </c>
      <c r="B53" s="18">
        <v>0.28958333333333336</v>
      </c>
      <c r="C53" s="19">
        <v>40.5</v>
      </c>
      <c r="D53" s="19">
        <v>28</v>
      </c>
      <c r="E53" s="19">
        <v>29</v>
      </c>
      <c r="F53" s="20">
        <v>44.5</v>
      </c>
      <c r="G53">
        <f t="shared" si="1"/>
        <v>12.5</v>
      </c>
    </row>
    <row r="54" spans="1:7" ht="12.75">
      <c r="A54" s="17">
        <v>39962</v>
      </c>
      <c r="B54" s="18">
        <v>0.2916666666666667</v>
      </c>
      <c r="C54" s="19">
        <v>37</v>
      </c>
      <c r="D54" s="19">
        <v>28</v>
      </c>
      <c r="E54" s="19">
        <v>29</v>
      </c>
      <c r="F54" s="20">
        <v>44.5</v>
      </c>
      <c r="G54">
        <f t="shared" si="1"/>
        <v>9</v>
      </c>
    </row>
    <row r="55" spans="1:7" ht="12.75">
      <c r="A55" s="17">
        <v>39962</v>
      </c>
      <c r="B55" s="18">
        <v>0.29375</v>
      </c>
      <c r="C55" s="19">
        <v>36.5</v>
      </c>
      <c r="D55" s="19">
        <v>27.5</v>
      </c>
      <c r="E55" s="19">
        <v>28.5</v>
      </c>
      <c r="F55" s="20">
        <v>39</v>
      </c>
      <c r="G55">
        <f t="shared" si="1"/>
        <v>9</v>
      </c>
    </row>
    <row r="56" spans="1:7" ht="13.5" thickBot="1">
      <c r="A56" s="21">
        <v>39962</v>
      </c>
      <c r="B56" s="22">
        <v>0.29583333333333334</v>
      </c>
      <c r="C56" s="23">
        <v>36</v>
      </c>
      <c r="D56" s="23">
        <v>28</v>
      </c>
      <c r="E56" s="23">
        <v>28</v>
      </c>
      <c r="F56" s="24">
        <v>35.5</v>
      </c>
      <c r="G56">
        <f t="shared" si="1"/>
        <v>8</v>
      </c>
    </row>
    <row r="57" spans="1:6" ht="12.75">
      <c r="A57" s="11">
        <v>39962</v>
      </c>
      <c r="B57" s="12">
        <v>0.29791666666666666</v>
      </c>
      <c r="C57">
        <v>35</v>
      </c>
      <c r="D57">
        <v>28</v>
      </c>
      <c r="E57">
        <v>27.5</v>
      </c>
      <c r="F57">
        <v>33</v>
      </c>
    </row>
    <row r="58" spans="1:2" ht="12.75">
      <c r="A58" s="11">
        <v>39962</v>
      </c>
      <c r="B58" s="12">
        <v>0.7416666666666667</v>
      </c>
    </row>
    <row r="59" spans="1:6" ht="13.5" thickBot="1">
      <c r="A59" s="11">
        <v>39962</v>
      </c>
      <c r="B59" s="12">
        <v>0.74375</v>
      </c>
      <c r="C59">
        <v>23</v>
      </c>
      <c r="D59">
        <v>20.5</v>
      </c>
      <c r="E59">
        <v>21</v>
      </c>
      <c r="F59">
        <v>21</v>
      </c>
    </row>
    <row r="60" spans="1:7" ht="12.75">
      <c r="A60" s="13">
        <v>39962</v>
      </c>
      <c r="B60" s="14">
        <v>0.7458333333333332</v>
      </c>
      <c r="C60" s="15">
        <v>23</v>
      </c>
      <c r="D60" s="15">
        <v>20.5</v>
      </c>
      <c r="E60" s="15">
        <v>21</v>
      </c>
      <c r="F60" s="16">
        <v>21</v>
      </c>
      <c r="G60">
        <f aca="true" t="shared" si="2" ref="G60:G84">C60-D60</f>
        <v>2.5</v>
      </c>
    </row>
    <row r="61" spans="1:7" ht="12.75">
      <c r="A61" s="17">
        <v>39962</v>
      </c>
      <c r="B61" s="18">
        <v>0.7479166666666667</v>
      </c>
      <c r="C61" s="19">
        <v>23</v>
      </c>
      <c r="D61" s="19">
        <v>20.5</v>
      </c>
      <c r="E61" s="19">
        <v>21</v>
      </c>
      <c r="F61" s="20">
        <v>21</v>
      </c>
      <c r="G61">
        <f t="shared" si="2"/>
        <v>2.5</v>
      </c>
    </row>
    <row r="62" spans="1:7" ht="12.75">
      <c r="A62" s="17">
        <v>39962</v>
      </c>
      <c r="B62" s="18">
        <v>0.75</v>
      </c>
      <c r="C62" s="19">
        <v>20</v>
      </c>
      <c r="D62" s="19">
        <v>19.5</v>
      </c>
      <c r="E62" s="19">
        <v>19</v>
      </c>
      <c r="F62" s="20">
        <v>20</v>
      </c>
      <c r="G62">
        <f t="shared" si="2"/>
        <v>0.5</v>
      </c>
    </row>
    <row r="63" spans="1:7" ht="12.75">
      <c r="A63" s="17">
        <v>39962</v>
      </c>
      <c r="B63" s="18">
        <v>0.7520833333333333</v>
      </c>
      <c r="C63" s="19">
        <v>26</v>
      </c>
      <c r="D63" s="19">
        <v>19</v>
      </c>
      <c r="E63" s="19">
        <v>19</v>
      </c>
      <c r="F63" s="20">
        <v>27</v>
      </c>
      <c r="G63">
        <f t="shared" si="2"/>
        <v>7</v>
      </c>
    </row>
    <row r="64" spans="1:7" ht="12.75">
      <c r="A64" s="17">
        <v>39962</v>
      </c>
      <c r="B64" s="18">
        <v>0.7541666666666668</v>
      </c>
      <c r="C64" s="19">
        <v>28</v>
      </c>
      <c r="D64" s="19">
        <v>19</v>
      </c>
      <c r="E64" s="19">
        <v>19</v>
      </c>
      <c r="F64" s="20">
        <v>29</v>
      </c>
      <c r="G64">
        <f t="shared" si="2"/>
        <v>9</v>
      </c>
    </row>
    <row r="65" spans="1:7" ht="12.75">
      <c r="A65" s="17">
        <v>39962</v>
      </c>
      <c r="B65" s="18">
        <v>0.75625</v>
      </c>
      <c r="C65" s="19">
        <v>29</v>
      </c>
      <c r="D65" s="19">
        <v>20</v>
      </c>
      <c r="E65" s="19">
        <v>20</v>
      </c>
      <c r="F65" s="20">
        <v>30</v>
      </c>
      <c r="G65">
        <f t="shared" si="2"/>
        <v>9</v>
      </c>
    </row>
    <row r="66" spans="1:7" ht="12.75">
      <c r="A66" s="17">
        <v>39962</v>
      </c>
      <c r="B66" s="18">
        <v>0.7583333333333333</v>
      </c>
      <c r="C66" s="19">
        <v>29.5</v>
      </c>
      <c r="D66" s="19">
        <v>20.5</v>
      </c>
      <c r="E66" s="19">
        <v>20.5</v>
      </c>
      <c r="F66" s="20">
        <v>30.5</v>
      </c>
      <c r="G66">
        <f t="shared" si="2"/>
        <v>9</v>
      </c>
    </row>
    <row r="67" spans="1:7" ht="12.75">
      <c r="A67" s="17">
        <v>39962</v>
      </c>
      <c r="B67" s="18">
        <v>0.7604166666666666</v>
      </c>
      <c r="C67" s="19">
        <v>30</v>
      </c>
      <c r="D67" s="19">
        <v>21</v>
      </c>
      <c r="E67" s="19">
        <v>21</v>
      </c>
      <c r="F67" s="20">
        <v>31</v>
      </c>
      <c r="G67">
        <f t="shared" si="2"/>
        <v>9</v>
      </c>
    </row>
    <row r="68" spans="1:7" ht="12.75">
      <c r="A68" s="17">
        <v>39962</v>
      </c>
      <c r="B68" s="18">
        <v>0.7625</v>
      </c>
      <c r="C68" s="19">
        <v>30</v>
      </c>
      <c r="D68" s="19">
        <v>21</v>
      </c>
      <c r="E68" s="19">
        <v>21</v>
      </c>
      <c r="F68" s="20">
        <v>31.5</v>
      </c>
      <c r="G68">
        <f t="shared" si="2"/>
        <v>9</v>
      </c>
    </row>
    <row r="69" spans="1:7" ht="12.75">
      <c r="A69" s="17">
        <v>39962</v>
      </c>
      <c r="B69" s="18">
        <v>0.7645833333333334</v>
      </c>
      <c r="C69" s="19">
        <v>30.5</v>
      </c>
      <c r="D69" s="19">
        <v>21.5</v>
      </c>
      <c r="E69" s="19">
        <v>21.5</v>
      </c>
      <c r="F69" s="20">
        <v>31.5</v>
      </c>
      <c r="G69">
        <f t="shared" si="2"/>
        <v>9</v>
      </c>
    </row>
    <row r="70" spans="1:7" ht="12.75">
      <c r="A70" s="17">
        <v>39962</v>
      </c>
      <c r="B70" s="18">
        <v>0.7666666666666666</v>
      </c>
      <c r="C70" s="19">
        <v>31</v>
      </c>
      <c r="D70" s="19">
        <v>22</v>
      </c>
      <c r="E70" s="19">
        <v>21.5</v>
      </c>
      <c r="F70" s="20">
        <v>32</v>
      </c>
      <c r="G70">
        <f t="shared" si="2"/>
        <v>9</v>
      </c>
    </row>
    <row r="71" spans="1:7" ht="12.75">
      <c r="A71" s="17">
        <v>39962</v>
      </c>
      <c r="B71" s="18">
        <v>0.76875</v>
      </c>
      <c r="C71" s="19">
        <v>31</v>
      </c>
      <c r="D71" s="19">
        <v>22</v>
      </c>
      <c r="E71" s="19">
        <v>22</v>
      </c>
      <c r="F71" s="20">
        <v>32</v>
      </c>
      <c r="G71">
        <f t="shared" si="2"/>
        <v>9</v>
      </c>
    </row>
    <row r="72" spans="1:7" ht="12.75">
      <c r="A72" s="17">
        <v>39962</v>
      </c>
      <c r="B72" s="18">
        <v>0.7708333333333334</v>
      </c>
      <c r="C72" s="19">
        <v>33</v>
      </c>
      <c r="D72" s="19">
        <v>22.5</v>
      </c>
      <c r="E72" s="19">
        <v>22.5</v>
      </c>
      <c r="F72" s="20">
        <v>32</v>
      </c>
      <c r="G72">
        <f t="shared" si="2"/>
        <v>10.5</v>
      </c>
    </row>
    <row r="73" spans="1:7" ht="12.75">
      <c r="A73" s="17">
        <v>39962</v>
      </c>
      <c r="B73" s="18">
        <v>0.7729166666666667</v>
      </c>
      <c r="C73" s="19">
        <v>32.5</v>
      </c>
      <c r="D73" s="19">
        <v>23.5</v>
      </c>
      <c r="E73" s="19">
        <v>22.5</v>
      </c>
      <c r="F73" s="20">
        <v>31.5</v>
      </c>
      <c r="G73">
        <f t="shared" si="2"/>
        <v>9</v>
      </c>
    </row>
    <row r="74" spans="1:7" ht="12.75">
      <c r="A74" s="17">
        <v>39962</v>
      </c>
      <c r="B74" s="18">
        <v>0.775</v>
      </c>
      <c r="C74" s="19">
        <v>32</v>
      </c>
      <c r="D74" s="19">
        <v>24</v>
      </c>
      <c r="E74" s="19">
        <v>22.5</v>
      </c>
      <c r="F74" s="20">
        <v>31</v>
      </c>
      <c r="G74">
        <f t="shared" si="2"/>
        <v>8</v>
      </c>
    </row>
    <row r="75" spans="1:7" ht="12.75">
      <c r="A75" s="17">
        <v>39962</v>
      </c>
      <c r="B75" s="18">
        <v>0.7770833333333332</v>
      </c>
      <c r="C75" s="19">
        <v>32</v>
      </c>
      <c r="D75" s="19">
        <v>24</v>
      </c>
      <c r="E75" s="19">
        <v>22.5</v>
      </c>
      <c r="F75" s="20">
        <v>31</v>
      </c>
      <c r="G75">
        <f t="shared" si="2"/>
        <v>8</v>
      </c>
    </row>
    <row r="76" spans="1:7" ht="12.75">
      <c r="A76" s="17">
        <v>39962</v>
      </c>
      <c r="B76" s="18">
        <v>0.7791666666666667</v>
      </c>
      <c r="C76" s="19">
        <v>32</v>
      </c>
      <c r="D76" s="19">
        <v>24</v>
      </c>
      <c r="E76" s="19">
        <v>22.5</v>
      </c>
      <c r="F76" s="20">
        <v>30.5</v>
      </c>
      <c r="G76">
        <f t="shared" si="2"/>
        <v>8</v>
      </c>
    </row>
    <row r="77" spans="1:7" ht="12.75">
      <c r="A77" s="17">
        <v>39962</v>
      </c>
      <c r="B77" s="18">
        <v>0.78125</v>
      </c>
      <c r="C77" s="19">
        <v>31.5</v>
      </c>
      <c r="D77" s="19">
        <v>24</v>
      </c>
      <c r="E77" s="19">
        <v>22.5</v>
      </c>
      <c r="F77" s="20">
        <v>30</v>
      </c>
      <c r="G77">
        <f t="shared" si="2"/>
        <v>7.5</v>
      </c>
    </row>
    <row r="78" spans="1:7" ht="12.75">
      <c r="A78" s="17">
        <v>39962</v>
      </c>
      <c r="B78" s="18">
        <v>0.7833333333333333</v>
      </c>
      <c r="C78" s="19">
        <v>31.5</v>
      </c>
      <c r="D78" s="19">
        <v>23.5</v>
      </c>
      <c r="E78" s="19">
        <v>22.5</v>
      </c>
      <c r="F78" s="20">
        <v>30</v>
      </c>
      <c r="G78">
        <f t="shared" si="2"/>
        <v>8</v>
      </c>
    </row>
    <row r="79" spans="1:7" ht="12.75">
      <c r="A79" s="17">
        <v>39962</v>
      </c>
      <c r="B79" s="18">
        <v>0.7854166666666668</v>
      </c>
      <c r="C79" s="19">
        <v>31.5</v>
      </c>
      <c r="D79" s="19">
        <v>23.5</v>
      </c>
      <c r="E79" s="19">
        <v>22.5</v>
      </c>
      <c r="F79" s="20">
        <v>29.5</v>
      </c>
      <c r="G79">
        <f t="shared" si="2"/>
        <v>8</v>
      </c>
    </row>
    <row r="80" spans="1:7" ht="12.75">
      <c r="A80" s="17">
        <v>39962</v>
      </c>
      <c r="B80" s="18">
        <v>0.7875</v>
      </c>
      <c r="C80" s="19">
        <v>31.5</v>
      </c>
      <c r="D80" s="19">
        <v>23</v>
      </c>
      <c r="E80" s="19">
        <v>22.5</v>
      </c>
      <c r="F80" s="20">
        <v>29</v>
      </c>
      <c r="G80">
        <f t="shared" si="2"/>
        <v>8.5</v>
      </c>
    </row>
    <row r="81" spans="1:7" ht="12.75">
      <c r="A81" s="17">
        <v>39962</v>
      </c>
      <c r="B81" s="18">
        <v>0.7895833333333333</v>
      </c>
      <c r="C81" s="19">
        <v>31</v>
      </c>
      <c r="D81" s="19">
        <v>23</v>
      </c>
      <c r="E81" s="19">
        <v>22.5</v>
      </c>
      <c r="F81" s="20">
        <v>29</v>
      </c>
      <c r="G81">
        <f t="shared" si="2"/>
        <v>8</v>
      </c>
    </row>
    <row r="82" spans="1:7" ht="12.75">
      <c r="A82" s="17">
        <v>39962</v>
      </c>
      <c r="B82" s="18">
        <v>0.7916666666666666</v>
      </c>
      <c r="C82" s="19">
        <v>31</v>
      </c>
      <c r="D82" s="19">
        <v>23</v>
      </c>
      <c r="E82" s="19">
        <v>22.5</v>
      </c>
      <c r="F82" s="20">
        <v>28.5</v>
      </c>
      <c r="G82">
        <f t="shared" si="2"/>
        <v>8</v>
      </c>
    </row>
    <row r="83" spans="1:7" ht="12.75">
      <c r="A83" s="17">
        <v>39962</v>
      </c>
      <c r="B83" s="18">
        <v>0.79375</v>
      </c>
      <c r="C83" s="19">
        <v>30.5</v>
      </c>
      <c r="D83" s="19">
        <v>22.5</v>
      </c>
      <c r="E83" s="19">
        <v>22.5</v>
      </c>
      <c r="F83" s="20">
        <v>28</v>
      </c>
      <c r="G83">
        <f t="shared" si="2"/>
        <v>8</v>
      </c>
    </row>
    <row r="84" spans="1:7" ht="13.5" thickBot="1">
      <c r="A84" s="21">
        <v>39962</v>
      </c>
      <c r="B84" s="22">
        <v>0.7958333333333334</v>
      </c>
      <c r="C84" s="23">
        <v>30.5</v>
      </c>
      <c r="D84" s="23">
        <v>22.5</v>
      </c>
      <c r="E84" s="23">
        <v>22.5</v>
      </c>
      <c r="F84" s="24">
        <v>28</v>
      </c>
      <c r="G84">
        <f t="shared" si="2"/>
        <v>8</v>
      </c>
    </row>
    <row r="85" spans="1:6" ht="12.75">
      <c r="A85" s="11">
        <v>39962</v>
      </c>
      <c r="B85" s="12">
        <v>0.7979166666666666</v>
      </c>
      <c r="C85">
        <v>30</v>
      </c>
      <c r="D85">
        <v>22.5</v>
      </c>
      <c r="E85">
        <v>22.5</v>
      </c>
      <c r="F85">
        <v>27.5</v>
      </c>
    </row>
    <row r="89" spans="3:8" ht="12.75">
      <c r="C89" s="1" t="s">
        <v>8</v>
      </c>
      <c r="D89" s="1" t="s">
        <v>9</v>
      </c>
      <c r="E89" s="1" t="s">
        <v>10</v>
      </c>
      <c r="F89" s="2" t="s">
        <v>11</v>
      </c>
      <c r="G89" s="2" t="s">
        <v>12</v>
      </c>
      <c r="H89" s="2" t="s">
        <v>13</v>
      </c>
    </row>
    <row r="90" spans="3:9" ht="12.75">
      <c r="C90" s="3">
        <v>0.56</v>
      </c>
      <c r="D90" s="4">
        <f>+C90*3.66</f>
        <v>2.0496000000000003</v>
      </c>
      <c r="E90" s="4">
        <f>+C90*0.28</f>
        <v>0.15680000000000002</v>
      </c>
      <c r="F90" s="2">
        <v>6</v>
      </c>
      <c r="G90" s="3">
        <f>E90</f>
        <v>0.15680000000000002</v>
      </c>
      <c r="H90" s="4">
        <f>+F90/G90/4.2</f>
        <v>9.11078717201166</v>
      </c>
      <c r="I90">
        <v>9</v>
      </c>
    </row>
    <row r="92" spans="3:8" ht="12.75">
      <c r="C92" s="1" t="s">
        <v>8</v>
      </c>
      <c r="D92" s="1" t="s">
        <v>9</v>
      </c>
      <c r="E92" s="1" t="s">
        <v>10</v>
      </c>
      <c r="F92" s="2" t="s">
        <v>11</v>
      </c>
      <c r="G92" s="2" t="s">
        <v>12</v>
      </c>
      <c r="H92" s="2" t="s">
        <v>13</v>
      </c>
    </row>
    <row r="93" spans="3:9" ht="12.75">
      <c r="C93" s="5">
        <v>0.24</v>
      </c>
      <c r="D93" s="4">
        <f>+C93*3.66</f>
        <v>0.8784</v>
      </c>
      <c r="E93" s="4">
        <f>+C93*0.28</f>
        <v>0.06720000000000001</v>
      </c>
      <c r="F93" s="2">
        <v>6</v>
      </c>
      <c r="G93" s="3">
        <f>E93</f>
        <v>0.06720000000000001</v>
      </c>
      <c r="H93" s="4">
        <f>+F93/G93/4.2</f>
        <v>21.258503401360542</v>
      </c>
      <c r="I93">
        <v>21.5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6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2" max="2" width="31.140625" style="0" customWidth="1"/>
    <col min="3" max="3" width="48.140625" style="0" customWidth="1"/>
  </cols>
  <sheetData>
    <row r="1" spans="5:7" ht="12.75">
      <c r="E1" t="s">
        <v>174</v>
      </c>
      <c r="F1" t="s">
        <v>181</v>
      </c>
      <c r="G1" t="s">
        <v>345</v>
      </c>
    </row>
    <row r="3" spans="2:5" ht="12.75">
      <c r="B3" t="s">
        <v>92</v>
      </c>
      <c r="C3" t="s">
        <v>200</v>
      </c>
      <c r="D3">
        <v>1</v>
      </c>
      <c r="E3" t="s">
        <v>175</v>
      </c>
    </row>
    <row r="4" spans="2:5" ht="12.75">
      <c r="B4" t="s">
        <v>91</v>
      </c>
      <c r="C4" t="s">
        <v>173</v>
      </c>
      <c r="D4">
        <v>1</v>
      </c>
      <c r="E4" t="s">
        <v>176</v>
      </c>
    </row>
    <row r="5" spans="2:5" ht="12.75">
      <c r="B5" t="s">
        <v>93</v>
      </c>
      <c r="C5" t="s">
        <v>173</v>
      </c>
      <c r="D5">
        <v>1</v>
      </c>
      <c r="E5" t="s">
        <v>176</v>
      </c>
    </row>
    <row r="6" spans="2:4" ht="12.75">
      <c r="B6" t="s">
        <v>94</v>
      </c>
      <c r="C6" t="s">
        <v>201</v>
      </c>
      <c r="D6">
        <v>1</v>
      </c>
    </row>
    <row r="7" spans="2:6" ht="12.75">
      <c r="B7" t="s">
        <v>95</v>
      </c>
      <c r="C7" t="s">
        <v>180</v>
      </c>
      <c r="D7">
        <v>1</v>
      </c>
      <c r="E7" t="s">
        <v>177</v>
      </c>
      <c r="F7" t="s">
        <v>182</v>
      </c>
    </row>
    <row r="8" spans="2:4" ht="12.75">
      <c r="B8" t="s">
        <v>96</v>
      </c>
      <c r="C8" t="s">
        <v>202</v>
      </c>
      <c r="D8">
        <v>1</v>
      </c>
    </row>
    <row r="9" spans="2:6" ht="12.75">
      <c r="B9" t="s">
        <v>340</v>
      </c>
      <c r="C9" t="s">
        <v>339</v>
      </c>
      <c r="D9">
        <v>1</v>
      </c>
      <c r="E9" t="s">
        <v>177</v>
      </c>
      <c r="F9" t="s">
        <v>338</v>
      </c>
    </row>
    <row r="10" spans="2:6" ht="12.75">
      <c r="B10" t="s">
        <v>341</v>
      </c>
      <c r="C10" t="s">
        <v>337</v>
      </c>
      <c r="D10">
        <v>1</v>
      </c>
      <c r="E10" t="s">
        <v>177</v>
      </c>
      <c r="F10" t="s">
        <v>336</v>
      </c>
    </row>
    <row r="11" spans="2:6" ht="12.75">
      <c r="B11" t="s">
        <v>185</v>
      </c>
      <c r="C11" t="s">
        <v>326</v>
      </c>
      <c r="D11">
        <v>2</v>
      </c>
      <c r="E11" t="s">
        <v>177</v>
      </c>
      <c r="F11" t="s">
        <v>325</v>
      </c>
    </row>
    <row r="12" spans="2:6" ht="12.75">
      <c r="B12" t="s">
        <v>185</v>
      </c>
      <c r="C12" t="s">
        <v>328</v>
      </c>
      <c r="D12">
        <v>1</v>
      </c>
      <c r="E12" t="s">
        <v>177</v>
      </c>
      <c r="F12" t="s">
        <v>327</v>
      </c>
    </row>
    <row r="13" spans="2:6" ht="12.75">
      <c r="B13" t="s">
        <v>186</v>
      </c>
      <c r="C13" t="s">
        <v>329</v>
      </c>
      <c r="D13">
        <v>2</v>
      </c>
      <c r="E13" t="s">
        <v>177</v>
      </c>
      <c r="F13" t="s">
        <v>330</v>
      </c>
    </row>
    <row r="14" spans="2:6" ht="12.75">
      <c r="B14" t="s">
        <v>186</v>
      </c>
      <c r="C14" t="s">
        <v>332</v>
      </c>
      <c r="D14">
        <v>1</v>
      </c>
      <c r="E14" t="s">
        <v>177</v>
      </c>
      <c r="F14" t="s">
        <v>331</v>
      </c>
    </row>
    <row r="16" spans="2:3" ht="12.75">
      <c r="B16" t="s">
        <v>97</v>
      </c>
      <c r="C16" t="s">
        <v>344</v>
      </c>
    </row>
    <row r="18" spans="2:7" ht="12.75">
      <c r="B18" t="s">
        <v>99</v>
      </c>
      <c r="C18" t="s">
        <v>350</v>
      </c>
      <c r="D18">
        <v>3</v>
      </c>
      <c r="E18" t="s">
        <v>177</v>
      </c>
      <c r="F18" t="s">
        <v>351</v>
      </c>
      <c r="G18">
        <v>1.47</v>
      </c>
    </row>
    <row r="19" spans="3:7" ht="12.75">
      <c r="C19" t="s">
        <v>346</v>
      </c>
      <c r="D19">
        <v>4</v>
      </c>
      <c r="E19" t="s">
        <v>177</v>
      </c>
      <c r="F19" t="s">
        <v>347</v>
      </c>
      <c r="G19">
        <v>1.47</v>
      </c>
    </row>
    <row r="20" spans="3:7" ht="12.75">
      <c r="C20" t="s">
        <v>349</v>
      </c>
      <c r="D20">
        <v>1</v>
      </c>
      <c r="E20" t="s">
        <v>177</v>
      </c>
      <c r="F20" t="s">
        <v>348</v>
      </c>
      <c r="G20">
        <v>1</v>
      </c>
    </row>
    <row r="21" spans="3:7" ht="12.75">
      <c r="C21" t="s">
        <v>359</v>
      </c>
      <c r="D21">
        <v>2</v>
      </c>
      <c r="E21" t="s">
        <v>177</v>
      </c>
      <c r="F21" t="s">
        <v>360</v>
      </c>
      <c r="G21">
        <v>1.29</v>
      </c>
    </row>
    <row r="22" spans="3:7" ht="12.75">
      <c r="C22" t="s">
        <v>353</v>
      </c>
      <c r="D22">
        <v>5</v>
      </c>
      <c r="E22" t="s">
        <v>177</v>
      </c>
      <c r="F22" t="s">
        <v>352</v>
      </c>
      <c r="G22">
        <v>0.5</v>
      </c>
    </row>
    <row r="23" spans="3:6" ht="12.75">
      <c r="C23" t="s">
        <v>354</v>
      </c>
      <c r="D23">
        <v>4</v>
      </c>
      <c r="E23" t="s">
        <v>177</v>
      </c>
      <c r="F23" t="s">
        <v>356</v>
      </c>
    </row>
    <row r="24" spans="3:7" ht="12.75">
      <c r="C24" t="s">
        <v>355</v>
      </c>
      <c r="D24">
        <v>1</v>
      </c>
      <c r="E24" t="s">
        <v>177</v>
      </c>
      <c r="F24" t="s">
        <v>357</v>
      </c>
      <c r="G24">
        <v>0.8</v>
      </c>
    </row>
    <row r="25" spans="2:5" ht="12.75">
      <c r="B25" t="s">
        <v>100</v>
      </c>
      <c r="C25" t="s">
        <v>358</v>
      </c>
      <c r="D25">
        <v>2</v>
      </c>
      <c r="E25" t="s">
        <v>177</v>
      </c>
    </row>
    <row r="27" ht="12.75">
      <c r="B27" s="30" t="s">
        <v>103</v>
      </c>
    </row>
    <row r="28" spans="2:5" ht="12.75">
      <c r="B28" t="s">
        <v>101</v>
      </c>
      <c r="C28" t="s">
        <v>369</v>
      </c>
      <c r="E28" t="s">
        <v>371</v>
      </c>
    </row>
    <row r="29" spans="2:5" ht="12.75">
      <c r="B29" t="s">
        <v>361</v>
      </c>
      <c r="C29" t="s">
        <v>370</v>
      </c>
      <c r="E29" t="s">
        <v>371</v>
      </c>
    </row>
    <row r="30" spans="2:5" ht="12.75">
      <c r="B30" t="s">
        <v>102</v>
      </c>
      <c r="C30" t="s">
        <v>362</v>
      </c>
      <c r="E30" t="s">
        <v>177</v>
      </c>
    </row>
    <row r="31" spans="2:5" ht="12.75">
      <c r="B31" t="s">
        <v>364</v>
      </c>
      <c r="C31" t="s">
        <v>365</v>
      </c>
      <c r="E31" t="s">
        <v>177</v>
      </c>
    </row>
    <row r="32" spans="2:5" ht="12.75">
      <c r="B32" t="s">
        <v>112</v>
      </c>
      <c r="C32" t="s">
        <v>372</v>
      </c>
      <c r="E32" t="s">
        <v>371</v>
      </c>
    </row>
    <row r="33" spans="2:5" ht="12.75">
      <c r="B33" t="s">
        <v>333</v>
      </c>
      <c r="C33" t="s">
        <v>363</v>
      </c>
      <c r="E33" t="s">
        <v>343</v>
      </c>
    </row>
    <row r="34" spans="2:5" ht="12.75">
      <c r="B34" t="s">
        <v>334</v>
      </c>
      <c r="C34" t="s">
        <v>335</v>
      </c>
      <c r="E34" t="s">
        <v>342</v>
      </c>
    </row>
    <row r="35" ht="12.75">
      <c r="B35" t="s">
        <v>366</v>
      </c>
    </row>
    <row r="36" spans="2:5" ht="12.75">
      <c r="B36" t="s">
        <v>368</v>
      </c>
      <c r="E36" t="s">
        <v>342</v>
      </c>
    </row>
    <row r="37" ht="12.75">
      <c r="B37" t="s">
        <v>367</v>
      </c>
    </row>
    <row r="39" ht="12.75">
      <c r="B39" s="30" t="s">
        <v>104</v>
      </c>
    </row>
    <row r="40" ht="12.75">
      <c r="B40" t="s">
        <v>105</v>
      </c>
    </row>
    <row r="41" ht="12.75">
      <c r="B41" t="s">
        <v>106</v>
      </c>
    </row>
    <row r="42" ht="12.75">
      <c r="B42" t="s">
        <v>284</v>
      </c>
    </row>
    <row r="43" ht="12.75">
      <c r="B43" t="s">
        <v>153</v>
      </c>
    </row>
    <row r="45" ht="12.75">
      <c r="B45" s="30" t="s">
        <v>107</v>
      </c>
    </row>
    <row r="46" ht="12.75">
      <c r="B46" t="s">
        <v>108</v>
      </c>
    </row>
    <row r="47" ht="12.75">
      <c r="B47" t="s">
        <v>109</v>
      </c>
    </row>
    <row r="49" ht="12.75">
      <c r="B49" t="s">
        <v>103</v>
      </c>
    </row>
    <row r="51" ht="12.75">
      <c r="B51" t="s">
        <v>203</v>
      </c>
    </row>
    <row r="52" ht="12.75">
      <c r="B52" t="s">
        <v>101</v>
      </c>
    </row>
    <row r="53" ht="12.75">
      <c r="B53" t="s">
        <v>204</v>
      </c>
    </row>
    <row r="54" ht="12.75">
      <c r="B54" t="s">
        <v>102</v>
      </c>
    </row>
    <row r="55" ht="12.75">
      <c r="B55" t="s">
        <v>205</v>
      </c>
    </row>
    <row r="57" spans="5:6" ht="12.75">
      <c r="E57" t="s">
        <v>216</v>
      </c>
      <c r="F57" t="s">
        <v>145</v>
      </c>
    </row>
    <row r="58" spans="2:6" ht="12.75">
      <c r="B58" t="s">
        <v>206</v>
      </c>
      <c r="D58" s="43" t="s">
        <v>208</v>
      </c>
      <c r="E58">
        <f>3/16</f>
        <v>0.1875</v>
      </c>
      <c r="F58">
        <f>E58*25.4</f>
        <v>4.762499999999999</v>
      </c>
    </row>
    <row r="59" spans="4:6" ht="12.75">
      <c r="D59" s="43" t="s">
        <v>207</v>
      </c>
      <c r="E59">
        <f>1/4</f>
        <v>0.25</v>
      </c>
      <c r="F59">
        <f aca="true" t="shared" si="0" ref="F59:F66">E59*25.4</f>
        <v>6.35</v>
      </c>
    </row>
    <row r="60" spans="4:6" ht="12.75">
      <c r="D60" s="43" t="s">
        <v>209</v>
      </c>
      <c r="E60">
        <f>3/8</f>
        <v>0.375</v>
      </c>
      <c r="F60">
        <f t="shared" si="0"/>
        <v>9.524999999999999</v>
      </c>
    </row>
    <row r="61" spans="4:6" ht="12.75">
      <c r="D61" s="43" t="s">
        <v>210</v>
      </c>
      <c r="E61">
        <v>0.5</v>
      </c>
      <c r="F61">
        <f t="shared" si="0"/>
        <v>12.7</v>
      </c>
    </row>
    <row r="62" spans="4:6" ht="12.75">
      <c r="D62" s="43" t="s">
        <v>215</v>
      </c>
      <c r="E62">
        <v>0.625</v>
      </c>
      <c r="F62">
        <f t="shared" si="0"/>
        <v>15.875</v>
      </c>
    </row>
    <row r="63" spans="4:6" ht="12.75">
      <c r="D63" s="43" t="s">
        <v>211</v>
      </c>
      <c r="E63">
        <v>0.75</v>
      </c>
      <c r="F63">
        <f t="shared" si="0"/>
        <v>19.049999999999997</v>
      </c>
    </row>
    <row r="64" spans="4:6" ht="12.75">
      <c r="D64" s="43" t="s">
        <v>212</v>
      </c>
      <c r="E64" s="43">
        <f>7/8</f>
        <v>0.875</v>
      </c>
      <c r="F64">
        <f t="shared" si="0"/>
        <v>22.224999999999998</v>
      </c>
    </row>
    <row r="65" spans="4:6" ht="12.75">
      <c r="D65" s="43" t="s">
        <v>213</v>
      </c>
      <c r="E65">
        <v>1.128</v>
      </c>
      <c r="F65">
        <f t="shared" si="0"/>
        <v>28.651199999999996</v>
      </c>
    </row>
    <row r="66" spans="4:6" ht="12.75">
      <c r="D66" t="s">
        <v>214</v>
      </c>
      <c r="E66">
        <v>1.375</v>
      </c>
      <c r="F66">
        <f t="shared" si="0"/>
        <v>34.925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A20" sqref="A20"/>
    </sheetView>
  </sheetViews>
  <sheetFormatPr defaultColWidth="9.140625" defaultRowHeight="12.75"/>
  <sheetData>
    <row r="2" spans="2:3" ht="12.75">
      <c r="B2" t="s">
        <v>117</v>
      </c>
      <c r="C2" t="s">
        <v>118</v>
      </c>
    </row>
    <row r="4" ht="12.75">
      <c r="B4" s="30" t="s">
        <v>119</v>
      </c>
    </row>
    <row r="6" spans="2:8" ht="12.75">
      <c r="B6" t="s">
        <v>120</v>
      </c>
      <c r="C6" t="s">
        <v>121</v>
      </c>
      <c r="D6" t="s">
        <v>122</v>
      </c>
      <c r="E6" t="s">
        <v>123</v>
      </c>
      <c r="F6" t="s">
        <v>124</v>
      </c>
      <c r="G6" t="s">
        <v>125</v>
      </c>
      <c r="H6" t="s">
        <v>126</v>
      </c>
    </row>
    <row r="7" spans="3:8" ht="12.75">
      <c r="C7" s="33" t="s">
        <v>127</v>
      </c>
      <c r="D7" s="33" t="s">
        <v>127</v>
      </c>
      <c r="E7" s="33" t="s">
        <v>128</v>
      </c>
      <c r="F7" s="33" t="s">
        <v>128</v>
      </c>
      <c r="G7" s="33" t="s">
        <v>128</v>
      </c>
      <c r="H7" s="33"/>
    </row>
    <row r="8" spans="2:8" ht="12.75">
      <c r="B8" s="34" t="s">
        <v>90</v>
      </c>
      <c r="C8" s="35">
        <v>0</v>
      </c>
      <c r="D8" s="35">
        <v>40</v>
      </c>
      <c r="E8" s="35">
        <v>452</v>
      </c>
      <c r="F8" s="35">
        <v>1704</v>
      </c>
      <c r="G8" s="35">
        <f>E8+F8</f>
        <v>2156</v>
      </c>
      <c r="H8" s="36">
        <f>G8/E8</f>
        <v>4.769911504424779</v>
      </c>
    </row>
    <row r="9" spans="2:8" ht="12.75">
      <c r="B9" s="45" t="s">
        <v>118</v>
      </c>
      <c r="C9" s="46">
        <v>0</v>
      </c>
      <c r="D9" s="46">
        <v>40</v>
      </c>
      <c r="E9" s="46">
        <v>513</v>
      </c>
      <c r="F9" s="46">
        <v>1960</v>
      </c>
      <c r="G9" s="46">
        <f>E9+F9</f>
        <v>2473</v>
      </c>
      <c r="H9" s="47">
        <f>G9/E9</f>
        <v>4.820662768031189</v>
      </c>
    </row>
    <row r="11" spans="2:9" ht="12.75">
      <c r="B11" s="34" t="s">
        <v>90</v>
      </c>
      <c r="C11" s="35">
        <v>3</v>
      </c>
      <c r="D11" s="35">
        <v>45</v>
      </c>
      <c r="E11" s="35">
        <v>510</v>
      </c>
      <c r="F11" s="35">
        <v>1671</v>
      </c>
      <c r="G11" s="35">
        <f>E11+F11</f>
        <v>2181</v>
      </c>
      <c r="H11" s="36">
        <f>G11/E11</f>
        <v>4.276470588235294</v>
      </c>
      <c r="I11" t="s">
        <v>129</v>
      </c>
    </row>
    <row r="12" spans="2:8" ht="12.75">
      <c r="B12" s="45" t="s">
        <v>118</v>
      </c>
      <c r="C12" s="46">
        <v>3</v>
      </c>
      <c r="D12" s="46">
        <v>45</v>
      </c>
      <c r="E12" s="46">
        <v>579</v>
      </c>
      <c r="F12" s="46">
        <v>1804</v>
      </c>
      <c r="G12" s="46">
        <f>E12+F12</f>
        <v>2383</v>
      </c>
      <c r="H12" s="47">
        <f>G12/E12</f>
        <v>4.115716753022452</v>
      </c>
    </row>
    <row r="14" ht="12.75">
      <c r="B14" t="s">
        <v>130</v>
      </c>
    </row>
    <row r="16" ht="12.75">
      <c r="B16" t="s">
        <v>169</v>
      </c>
    </row>
    <row r="17" spans="2:5" ht="12.75">
      <c r="B17" t="s">
        <v>170</v>
      </c>
      <c r="D17">
        <v>1.7</v>
      </c>
      <c r="E17" t="s">
        <v>31</v>
      </c>
    </row>
    <row r="18" spans="4:5" ht="12.75">
      <c r="D18" s="48">
        <f>D17*3.411*1000</f>
        <v>5798.7</v>
      </c>
      <c r="E18" t="s">
        <v>171</v>
      </c>
    </row>
    <row r="19" spans="4:5" ht="12.75">
      <c r="D19">
        <f>D18/12000</f>
        <v>0.48322499999999996</v>
      </c>
      <c r="E19" t="s">
        <v>172</v>
      </c>
    </row>
    <row r="20" spans="1:4" ht="12.75">
      <c r="A20" t="s">
        <v>179</v>
      </c>
      <c r="D20" t="s">
        <v>178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 Cantor</cp:lastModifiedBy>
  <dcterms:created xsi:type="dcterms:W3CDTF">1996-10-14T23:33:28Z</dcterms:created>
  <dcterms:modified xsi:type="dcterms:W3CDTF">2010-05-25T10:33:09Z</dcterms:modified>
  <cp:category/>
  <cp:version/>
  <cp:contentType/>
  <cp:contentStatus/>
</cp:coreProperties>
</file>