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296" yWindow="225" windowWidth="15480" windowHeight="11640" tabRatio="796" activeTab="0"/>
  </bookViews>
  <sheets>
    <sheet name="Cover Page" sheetId="1" r:id="rId1"/>
    <sheet name="User Interface" sheetId="2" r:id="rId2"/>
    <sheet name="More Comparisons" sheetId="3" r:id="rId3"/>
    <sheet name="Trips, Weight, Volume" sheetId="4" r:id="rId4"/>
    <sheet name="Ports and Distributors" sheetId="5" r:id="rId5"/>
    <sheet name="Import - Fuel Used" sheetId="6" r:id="rId6"/>
    <sheet name="Disposal - Fuel  Used" sheetId="7" r:id="rId7"/>
    <sheet name="Transport Emissions" sheetId="8" r:id="rId8"/>
    <sheet name="Production Energy" sheetId="9" r:id="rId9"/>
    <sheet name="Grid Mix" sheetId="10" r:id="rId10"/>
    <sheet name="Production Emissions" sheetId="11" r:id="rId11"/>
  </sheets>
  <externalReferences>
    <externalReference r:id="rId14"/>
  </externalReferences>
  <definedNames>
    <definedName name="ABRecycled">'User Interface'!$E$15</definedName>
    <definedName name="AdjustedBagWeight">'Production Energy'!$B$19</definedName>
    <definedName name="ArcataBags">'User Interface'!$E$14</definedName>
    <definedName name="BagsRecycled">'User Interface'!#REF!</definedName>
    <definedName name="CO2Transport">'Transport Emissions'!$D$11</definedName>
    <definedName name="COTransport">'Transport Emissions'!$D$12</definedName>
    <definedName name="DisposalFuel">'Disposal - Fuel  Used'!$B$23</definedName>
    <definedName name="DistDist">'Ports and Distributors'!$A$29:$B$38</definedName>
    <definedName name="DistMiles">'Ports and Distributors'!$B$37</definedName>
    <definedName name="Distributor">'User Interface'!$E$17</definedName>
    <definedName name="Distributors">'Ports and Distributors'!$A$29:$A$38</definedName>
    <definedName name="EngBagWeight">'Trips, Weight, Volume'!$B$16</definedName>
    <definedName name="FeedstockEE">'Production Energy'!$B$22</definedName>
    <definedName name="GridLocation">'User Interface'!$E$20</definedName>
    <definedName name="GridNames">'Grid Mix'!$A$26:$A$31</definedName>
    <definedName name="HDist">'Ports and Distributors'!$B$18:$I$18</definedName>
    <definedName name="ImportEnergy">'Import - Fuel Used'!#REF!</definedName>
    <definedName name="ImportFuel">'Import - Fuel Used'!$B$23</definedName>
    <definedName name="ImportShipMiles">'Import - Fuel Used'!$B$18</definedName>
    <definedName name="ImportTruckMiles">'Import - Fuel Used'!$B$17</definedName>
    <definedName name="InnerTable">'Ports and Distributors'!$B$19:$I$22</definedName>
    <definedName name="ManufactureEE">'Production Energy'!$B$24</definedName>
    <definedName name="MetricBagWeight">'Trips, Weight, Volume'!$B$17</definedName>
    <definedName name="mj_gal">'Production Emissions'!$E$7</definedName>
    <definedName name="NOxTransport">'Transport Emissions'!$D$14</definedName>
    <definedName name="Origin">'Ports and Distributors'!$B$5</definedName>
    <definedName name="ParticTransport">'Transport Emissions'!$D$16</definedName>
    <definedName name="PercentGPE">'User Interface'!$I$16</definedName>
    <definedName name="PercentHDDPE">'User Interface'!$I$17</definedName>
    <definedName name="PercentHDPE">'User Interface'!#REF!</definedName>
    <definedName name="PercentLDPE">'User Interface'!$I$19</definedName>
    <definedName name="PlasticMixCO2">'Production Energy'!$A$12</definedName>
    <definedName name="PlasticMixEE">'Production Energy'!$A$13</definedName>
    <definedName name="Port">'User Interface'!$E$18</definedName>
    <definedName name="PortDist">'Ports and Distributors'!$A$19:$B$22</definedName>
    <definedName name="PortNames">'Ports and Distributors'!$A$19:$A$22</definedName>
    <definedName name="PortToDist">'Ports and Distributors'!$F$16</definedName>
    <definedName name="PowerGridEmissions">'Grid Mix'!$A$26:$A$31</definedName>
    <definedName name="PowerGrids">'[1]Grid Mix'!$A$5:$A$10</definedName>
    <definedName name="ProductionEE">'Production Energy'!$B$23</definedName>
    <definedName name="PtoDTable">'Ports and Distributors'!$A$18:$I$22</definedName>
    <definedName name="RPercentGPE">'User Interface'!#REF!</definedName>
    <definedName name="RPercentHDPE">'User Interface'!$I$18</definedName>
    <definedName name="RPercentLDPE">'User Interface'!#REF!</definedName>
    <definedName name="SOxTransport">'Transport Emissions'!$D$13</definedName>
    <definedName name="sss">'User Interface'!$I$17</definedName>
    <definedName name="THCTransport">'Transport Emissions'!$D$15</definedName>
    <definedName name="TotalCO">'Production Emissions'!$C$22</definedName>
    <definedName name="TotalCO2">'Production Emissions'!$B$22</definedName>
    <definedName name="TotalDiesel">'Transport Emissions'!$B$7</definedName>
    <definedName name="TotalEE">'Production Energy'!$B$23</definedName>
    <definedName name="TotalEnergy">'Production Emissions'!$B$13</definedName>
    <definedName name="TotalNOx">'Production Emissions'!$E$22</definedName>
    <definedName name="TotalPartic">'Production Emissions'!$F$22</definedName>
    <definedName name="TotalSOx">'Production Emissions'!$D$22</definedName>
    <definedName name="TotalWater">'Production Emissions'!$G$22</definedName>
    <definedName name="TrucksIn">'Trips, Weight, Volume'!$B$12</definedName>
    <definedName name="TrucksOut">'Trips, Weight, Volume'!$B$23</definedName>
    <definedName name="WaterTransport">'Transport Emissions'!$D$17</definedName>
  </definedNames>
  <calcPr fullCalcOnLoad="1"/>
</workbook>
</file>

<file path=xl/comments10.xml><?xml version="1.0" encoding="utf-8"?>
<comments xmlns="http://schemas.openxmlformats.org/spreadsheetml/2006/main">
  <authors>
    <author>AsposeUser</author>
    <author>Danielle</author>
    <author>kleb</author>
  </authors>
  <commentList>
    <comment ref="H5" authorId="0">
      <text>
        <r>
          <rPr>
            <sz val="10"/>
            <rFont val="Arial"/>
            <family val="2"/>
          </rPr>
          <t>Figure falls short of 100% due to source's use of rounding.</t>
        </r>
      </text>
    </comment>
    <comment ref="H7" authorId="0">
      <text>
        <r>
          <rPr>
            <sz val="10"/>
            <rFont val="Arial"/>
            <family val="2"/>
          </rPr>
          <t>Figure falls short of 100% due to source's use of rounding.</t>
        </r>
      </text>
    </comment>
    <comment ref="H6" authorId="0">
      <text>
        <r>
          <rPr>
            <sz val="10"/>
            <rFont val="Arial"/>
            <family val="2"/>
          </rPr>
          <t>Figure is above 100% due to source's use of rounding.</t>
        </r>
      </text>
    </comment>
    <comment ref="A6" authorId="0">
      <text>
        <r>
          <rPr>
            <sz val="10"/>
            <rFont val="Arial"/>
            <family val="2"/>
          </rPr>
          <t>http://www.eia.doe.gov/cabs/China/Background.html</t>
        </r>
      </text>
    </comment>
    <comment ref="A8" authorId="0">
      <text>
        <r>
          <rPr>
            <sz val="10"/>
            <rFont val="Arial"/>
            <family val="2"/>
          </rPr>
          <t>http://www.geni.org/globalenergy/library/energy-issues/vietnam/index.shtml</t>
        </r>
      </text>
    </comment>
    <comment ref="A7" authorId="0">
      <text>
        <r>
          <rPr>
            <sz val="10"/>
            <rFont val="Arial"/>
            <family val="2"/>
          </rPr>
          <t>http://www.epa.gov/cleanenergy/energy-and-you/how-clean.html</t>
        </r>
      </text>
    </comment>
    <comment ref="A5" authorId="0">
      <text>
        <r>
          <rPr>
            <sz val="10"/>
            <rFont val="Arial"/>
            <family val="2"/>
          </rPr>
          <t>http://www.epa.gov/cleanenergy/energy-and-you/how-clean.html</t>
        </r>
      </text>
    </comment>
    <comment ref="A15" authorId="0">
      <text>
        <r>
          <rPr>
            <sz val="10"/>
            <rFont val="Arial"/>
            <family val="2"/>
          </rPr>
          <t>http://www.epa.gov/cleanenergy/energy-and-you/affect/air-emissions.html</t>
        </r>
      </text>
    </comment>
    <comment ref="A17" authorId="1">
      <text>
        <r>
          <rPr>
            <b/>
            <sz val="9"/>
            <rFont val="Tahoma"/>
            <family val="2"/>
          </rPr>
          <t>http://www.epa.gov/cleanenergy/energy-and-you/affect/air-emissions.html</t>
        </r>
      </text>
    </comment>
    <comment ref="A18" authorId="1">
      <text>
        <r>
          <rPr>
            <b/>
            <sz val="9"/>
            <rFont val="Tahoma"/>
            <family val="2"/>
          </rPr>
          <t>http://www.epa.gov/cleanenergy/energy-and-you/affect/air-emissions.html</t>
        </r>
      </text>
    </comment>
    <comment ref="A26" authorId="0">
      <text>
        <r>
          <rPr>
            <sz val="10"/>
            <rFont val="Arial"/>
            <family val="2"/>
          </rPr>
          <t>http://www.epa.gov/cleanenergy/energy-and-you/how-clean.html</t>
        </r>
      </text>
    </comment>
    <comment ref="A27" authorId="0">
      <text>
        <r>
          <rPr>
            <sz val="10"/>
            <rFont val="Arial"/>
            <family val="2"/>
          </rPr>
          <t>http://www.eia.doe.gov/cabs/China/Background.html</t>
        </r>
      </text>
    </comment>
    <comment ref="A28" authorId="0">
      <text>
        <r>
          <rPr>
            <sz val="10"/>
            <rFont val="Arial"/>
            <family val="2"/>
          </rPr>
          <t>http://www.epa.gov/cleanenergy/energy-and-you/how-clean.html</t>
        </r>
      </text>
    </comment>
    <comment ref="A29" authorId="0">
      <text>
        <r>
          <rPr>
            <sz val="10"/>
            <rFont val="Arial"/>
            <family val="2"/>
          </rPr>
          <t>http://www.geni.org/globalenergy/library/energy-issues/vietnam/index.shtml</t>
        </r>
      </text>
    </comment>
    <comment ref="A19" authorId="2">
      <text>
        <r>
          <rPr>
            <sz val="8"/>
            <rFont val="Tahoma"/>
            <family val="2"/>
          </rPr>
          <t xml:space="preserve">http://www.eea.europa.eu/publications/technical_report_2008_4/at_download/file
</t>
        </r>
      </text>
    </comment>
    <comment ref="A16" authorId="2">
      <text>
        <r>
          <rPr>
            <sz val="8"/>
            <rFont val="Tahoma"/>
            <family val="2"/>
          </rPr>
          <t>http://www.eea.europa.eu/publications/technical_report_2008_4/at_download/file</t>
        </r>
      </text>
    </comment>
    <comment ref="A20" authorId="2">
      <text>
        <r>
          <rPr>
            <b/>
            <sz val="8"/>
            <rFont val="Tahoma"/>
            <family val="2"/>
          </rPr>
          <t>http://www.isesco.org.ma/ISESCO_Technology_Vision/NUM05/Leens%20%E2%80%A6.pdf</t>
        </r>
      </text>
    </comment>
    <comment ref="A13" authorId="2">
      <text>
        <r>
          <rPr>
            <b/>
            <sz val="8"/>
            <rFont val="Tahoma"/>
            <family val="2"/>
          </rPr>
          <t xml:space="preserve">Note: Some emissions, such as coal emissions in China, are probably much higher than these averaged values, due to the quality of raw materials. </t>
        </r>
      </text>
    </comment>
  </commentList>
</comments>
</file>

<file path=xl/comments11.xml><?xml version="1.0" encoding="utf-8"?>
<comments xmlns="http://schemas.openxmlformats.org/spreadsheetml/2006/main">
  <authors>
    <author>Charles</author>
    <author>template</author>
  </authors>
  <commentList>
    <comment ref="F7" authorId="0">
      <text>
        <r>
          <rPr>
            <b/>
            <sz val="9"/>
            <rFont val="Verdana"/>
            <family val="2"/>
          </rPr>
          <t>http://www.eia.doe.gov/kids/energy.cfm?page=about_energy_conversion_calculator-basics</t>
        </r>
        <r>
          <rPr>
            <sz val="9"/>
            <rFont val="Verdana"/>
            <family val="2"/>
          </rPr>
          <t xml:space="preserve">
</t>
        </r>
      </text>
    </comment>
    <comment ref="A25" authorId="1">
      <text>
        <r>
          <rPr>
            <b/>
            <sz val="8"/>
            <rFont val="Tahoma"/>
            <family val="2"/>
          </rPr>
          <t>This is the title for the energy chart on the user interface sheet.</t>
        </r>
      </text>
    </comment>
  </commentList>
</comments>
</file>

<file path=xl/comments2.xml><?xml version="1.0" encoding="utf-8"?>
<comments xmlns="http://schemas.openxmlformats.org/spreadsheetml/2006/main">
  <authors>
    <author>ITS</author>
    <author>BBcompu</author>
  </authors>
  <commentList>
    <comment ref="E14" authorId="0">
      <text>
        <r>
          <rPr>
            <b/>
            <sz val="8"/>
            <rFont val="Tahoma"/>
            <family val="2"/>
          </rPr>
          <t>Actual value is estimated to be 3-5 million, based on survey conducted by ENGR 308, fall 2010.</t>
        </r>
        <r>
          <rPr>
            <sz val="8"/>
            <rFont val="Tahoma"/>
            <family val="2"/>
          </rPr>
          <t xml:space="preserve">
</t>
        </r>
      </text>
    </comment>
    <comment ref="B20" authorId="0">
      <text>
        <r>
          <rPr>
            <b/>
            <sz val="8"/>
            <rFont val="Tahoma"/>
            <family val="2"/>
          </rPr>
          <t xml:space="preserve"> This determines emmissions rates for energy used during bag manufacture</t>
        </r>
      </text>
    </comment>
    <comment ref="I15" authorId="1">
      <text>
        <r>
          <rPr>
            <b/>
            <sz val="9"/>
            <rFont val="Tahoma"/>
            <family val="2"/>
          </rPr>
          <t>Enter known or estimated % of plastic by content type.</t>
        </r>
      </text>
    </comment>
    <comment ref="E15" authorId="1">
      <text>
        <r>
          <rPr>
            <b/>
            <sz val="9"/>
            <rFont val="Tahoma"/>
            <family val="2"/>
          </rPr>
          <t>Currently a small percentage.</t>
        </r>
      </text>
    </comment>
  </commentList>
</comments>
</file>

<file path=xl/comments3.xml><?xml version="1.0" encoding="utf-8"?>
<comments xmlns="http://schemas.openxmlformats.org/spreadsheetml/2006/main">
  <authors>
    <author>kleb</author>
    <author>BBcompu</author>
  </authors>
  <commentList>
    <comment ref="L47" authorId="0">
      <text>
        <r>
          <rPr>
            <b/>
            <sz val="8"/>
            <rFont val="Tahoma"/>
            <family val="2"/>
          </rPr>
          <t>http://www.epa.gov/oms/climate/420f05001.htm</t>
        </r>
      </text>
    </comment>
    <comment ref="J21" authorId="0">
      <text>
        <r>
          <rPr>
            <b/>
            <sz val="8"/>
            <rFont val="Tahoma"/>
            <family val="2"/>
          </rPr>
          <t>http://bioenergy.ornl.gov/papers/misc/energy_conv.html</t>
        </r>
      </text>
    </comment>
    <comment ref="B47" authorId="0">
      <text>
        <r>
          <rPr>
            <b/>
            <sz val="8"/>
            <rFont val="Tahoma"/>
            <family val="2"/>
          </rPr>
          <t>Enter a number between 1 and 100.</t>
        </r>
      </text>
    </comment>
    <comment ref="L41" authorId="0">
      <text>
        <r>
          <rPr>
            <b/>
            <sz val="8"/>
            <rFont val="Tahoma"/>
            <family val="2"/>
          </rPr>
          <t>http://www.energysavers.gov/your_home/appliances/index.cfm/mytopic=10040</t>
        </r>
      </text>
    </comment>
    <comment ref="L42" authorId="0">
      <text>
        <r>
          <rPr>
            <b/>
            <sz val="8"/>
            <rFont val="Tahoma"/>
            <family val="2"/>
          </rPr>
          <t>http://www.energysavers.gov/your_home/appliances/index.cfm/mytopic=10040</t>
        </r>
      </text>
    </comment>
    <comment ref="J56" authorId="1">
      <text>
        <r>
          <rPr>
            <sz val="9"/>
            <rFont val="Tahoma"/>
            <family val="2"/>
          </rPr>
          <t>http://visualization.geblogs.com/visualization/co2/</t>
        </r>
      </text>
    </comment>
  </commentList>
</comments>
</file>

<file path=xl/comments4.xml><?xml version="1.0" encoding="utf-8"?>
<comments xmlns="http://schemas.openxmlformats.org/spreadsheetml/2006/main">
  <authors>
    <author>Danielle</author>
  </authors>
  <commentList>
    <comment ref="B4" authorId="0">
      <text>
        <r>
          <rPr>
            <b/>
            <sz val="9"/>
            <rFont val="Tahoma"/>
            <family val="2"/>
          </rPr>
          <t>From User Interface</t>
        </r>
      </text>
    </comment>
    <comment ref="B7" authorId="0">
      <text>
        <r>
          <rPr>
            <b/>
            <sz val="9"/>
            <rFont val="Tahoma"/>
            <family val="2"/>
          </rPr>
          <t>Note: Bag Volume calculated for HDPE. For basic white grocery store bags: 1063.18 in3/1000 LDPE bags, 1104 in3/1000 HDPE bags.</t>
        </r>
      </text>
    </comment>
    <comment ref="B8" authorId="0">
      <text>
        <r>
          <rPr>
            <b/>
            <sz val="9"/>
            <rFont val="Tahoma"/>
            <family val="2"/>
          </rPr>
          <t>http://www.arabcartage.com/equipment.htm</t>
        </r>
      </text>
    </comment>
    <comment ref="B15" authorId="0">
      <text>
        <r>
          <rPr>
            <b/>
            <sz val="9"/>
            <rFont val="Tahoma"/>
            <family val="2"/>
          </rPr>
          <t>Note: Bag weight calculated for HDPE. 18.5 lb for LDPE, 13.9 lb for HDPE."lb/1000 bag" includes weight of box.</t>
        </r>
      </text>
    </comment>
  </commentList>
</comments>
</file>

<file path=xl/comments5.xml><?xml version="1.0" encoding="utf-8"?>
<comments xmlns="http://schemas.openxmlformats.org/spreadsheetml/2006/main">
  <authors>
    <author>Greg D</author>
    <author>Charles</author>
    <author>BBcompu</author>
    <author>kleb</author>
    <author>template</author>
  </authors>
  <commentList>
    <comment ref="B32" authorId="0">
      <text>
        <r>
          <rPr>
            <b/>
            <sz val="9"/>
            <rFont val="Verdana"/>
            <family val="2"/>
          </rPr>
          <t xml:space="preserve">Distributor location is same as Origin
</t>
        </r>
      </text>
    </comment>
    <comment ref="A4" authorId="1">
      <text>
        <r>
          <rPr>
            <sz val="9"/>
            <rFont val="Verdana"/>
            <family val="2"/>
          </rPr>
          <t xml:space="preserve">Calculated from the port of Hong Kong for China, and the port of Ho Chi Minh for Vietnam.
</t>
        </r>
      </text>
    </comment>
    <comment ref="A37" authorId="2">
      <text>
        <r>
          <rPr>
            <b/>
            <sz val="9"/>
            <rFont val="Tahoma"/>
            <family val="2"/>
          </rPr>
          <t>Simple Average is not weighted based on actual  Arcata sourcing - It is just a simple average of Arcata's actual distributors. Research into how many bags come from each distributor would be needed for a more accurate total measure.</t>
        </r>
      </text>
    </comment>
    <comment ref="B37" authorId="3">
      <text>
        <r>
          <rPr>
            <b/>
            <sz val="8"/>
            <rFont val="Tahoma"/>
            <family val="2"/>
          </rPr>
          <t>Do not alter value.</t>
        </r>
      </text>
    </comment>
    <comment ref="B38" authorId="4">
      <text>
        <r>
          <rPr>
            <b/>
            <sz val="8"/>
            <rFont val="Tahoma"/>
            <family val="2"/>
          </rPr>
          <t>Enter miles from Distributor to Arcata.</t>
        </r>
      </text>
    </comment>
  </commentList>
</comments>
</file>

<file path=xl/comments6.xml><?xml version="1.0" encoding="utf-8"?>
<comments xmlns="http://schemas.openxmlformats.org/spreadsheetml/2006/main">
  <authors>
    <author>Danielle</author>
    <author>kleb</author>
  </authors>
  <commentList>
    <comment ref="A4" authorId="0">
      <text>
        <r>
          <rPr>
            <b/>
            <sz val="9"/>
            <rFont val="Tahoma"/>
            <family val="2"/>
          </rPr>
          <t>From User Interface</t>
        </r>
      </text>
    </comment>
    <comment ref="B16" authorId="0">
      <text>
        <r>
          <rPr>
            <b/>
            <sz val="9"/>
            <rFont val="Tahoma"/>
            <family val="2"/>
          </rPr>
          <t>DOE Transportation Energy Data Book ed. 29 2010</t>
        </r>
      </text>
    </comment>
    <comment ref="A18" authorId="1">
      <text>
        <r>
          <rPr>
            <b/>
            <sz val="8"/>
            <rFont val="Tahoma"/>
            <family val="2"/>
          </rPr>
          <t>Trip is only counted as one-way since such a small percentage of ship space would be taken up by a large amount of bags, though it is relevant to note the impact of importing by ship, as ships returning to their ports of origin from the US are often loaded well below capacity with US exports.</t>
        </r>
        <r>
          <rPr>
            <sz val="8"/>
            <rFont val="Tahoma"/>
            <family val="2"/>
          </rPr>
          <t xml:space="preserve">
</t>
        </r>
      </text>
    </comment>
    <comment ref="F16" authorId="1">
      <text>
        <r>
          <rPr>
            <sz val="8"/>
            <rFont val="Tahoma"/>
            <family val="2"/>
          </rPr>
          <t>Used proportional calculation for ship to teu size, since figures for other teu sizes appeared to use a proportionate amout of fuel.</t>
        </r>
      </text>
    </comment>
    <comment ref="G16" authorId="1">
      <text>
        <r>
          <rPr>
            <b/>
            <sz val="8"/>
            <rFont val="Tahoma"/>
            <family val="2"/>
          </rPr>
          <t>http://www.worldshipping.org/pdf/WSC_fuel_statement_final.pdf</t>
        </r>
      </text>
    </comment>
    <comment ref="G15" authorId="1">
      <text>
        <r>
          <rPr>
            <b/>
            <sz val="8"/>
            <rFont val="Tahoma"/>
            <family val="2"/>
          </rPr>
          <t>http://www.globalsecurity.org/military/systems/ship/container-types.htm</t>
        </r>
        <r>
          <rPr>
            <sz val="8"/>
            <rFont val="Tahoma"/>
            <family val="2"/>
          </rPr>
          <t xml:space="preserve">
</t>
        </r>
      </text>
    </comment>
    <comment ref="G14" authorId="1">
      <text>
        <r>
          <rPr>
            <b/>
            <sz val="8"/>
            <rFont val="Tahoma"/>
            <family val="2"/>
          </rPr>
          <t>Avg size containership. 
http://www.dbresearch.com/PROD/DBR_INTERNET_EN-PROD/PROD0000000000198081.pdf</t>
        </r>
        <r>
          <rPr>
            <sz val="8"/>
            <rFont val="Tahoma"/>
            <family val="2"/>
          </rPr>
          <t xml:space="preserve">
</t>
        </r>
      </text>
    </comment>
    <comment ref="A20" authorId="1">
      <text>
        <r>
          <rPr>
            <b/>
            <sz val="8"/>
            <rFont val="Tahoma"/>
            <family val="2"/>
          </rPr>
          <t xml:space="preserve">Container ships use bunker fuel, which is a low quality fuel mix, likely higher in emissions than diesel, but for this spreadsheet we assume regular diesel.
</t>
        </r>
      </text>
    </comment>
  </commentList>
</comments>
</file>

<file path=xl/comments7.xml><?xml version="1.0" encoding="utf-8"?>
<comments xmlns="http://schemas.openxmlformats.org/spreadsheetml/2006/main">
  <authors>
    <author>Greg D</author>
    <author>Danielle</author>
    <author>kleb</author>
  </authors>
  <commentList>
    <comment ref="A10" authorId="0">
      <text>
        <r>
          <rPr>
            <sz val="9"/>
            <rFont val="Verdana"/>
            <family val="2"/>
          </rPr>
          <t xml:space="preserve">
http://www.calrecycle.ca.gov/Profiles/County/CoProfile2.asp?COID=12</t>
        </r>
      </text>
    </comment>
    <comment ref="G4" authorId="0">
      <text>
        <r>
          <rPr>
            <b/>
            <sz val="9"/>
            <rFont val="Verdana"/>
            <family val="2"/>
          </rPr>
          <t>HWMA</t>
        </r>
        <r>
          <rPr>
            <sz val="9"/>
            <rFont val="Verdana"/>
            <family val="2"/>
          </rPr>
          <t xml:space="preserve">
</t>
        </r>
      </text>
    </comment>
    <comment ref="B6" authorId="1">
      <text>
        <r>
          <rPr>
            <b/>
            <sz val="9"/>
            <rFont val="Tahoma"/>
            <family val="2"/>
          </rPr>
          <t xml:space="preserve">From User Interface
</t>
        </r>
      </text>
    </comment>
    <comment ref="A16" authorId="2">
      <text>
        <r>
          <rPr>
            <sz val="8"/>
            <rFont val="Tahoma"/>
            <family val="2"/>
          </rPr>
          <t>Samoa Recycling Center no longer recycles plastic bags. California law AB 2449 requires specific grocery and pharmacy stores with retail outlets greater than 10,000 square feet in size to provide recycling bins in their stores to collect used plastic bags for recycling. The only recyling store found in Arcata was Safeway. Safeway sends bags to the Safeway Distribution Center in Tracy, CA. They compact the bags there in Tracy, and then ship them to the Trex for recycling. We assume they are sent to the production facility in Fernley, Nevada, since the only other production facility is the main production facility in Virginia.
Here is a link to the Trex website:
http://www.trex.com/company/career-center/</t>
        </r>
      </text>
    </comment>
  </commentList>
</comments>
</file>

<file path=xl/comments8.xml><?xml version="1.0" encoding="utf-8"?>
<comments xmlns="http://schemas.openxmlformats.org/spreadsheetml/2006/main">
  <authors>
    <author>AsposeUser</author>
    <author>Greg D</author>
    <author>Danielle</author>
    <author>kleb</author>
  </authors>
  <commentList>
    <comment ref="A15" authorId="0">
      <text>
        <r>
          <rPr>
            <sz val="10"/>
            <rFont val="Arial"/>
            <family val="2"/>
          </rPr>
          <t>In-Use Emissions from Heavy-Duty Diesel Vehicles: pubs.acs.org.ezproxy.humboldt.edu/doi/full/10.1021/es990903w</t>
        </r>
      </text>
    </comment>
    <comment ref="A14" authorId="0">
      <text>
        <r>
          <rPr>
            <sz val="10"/>
            <rFont val="Arial"/>
            <family val="2"/>
          </rPr>
          <t>In-Use Emissions from Heavy-Duty Diesel Vehicles: pubs.acs.org.ezproxy.humboldt.edu/doi/full/10.1021/es990903w</t>
        </r>
      </text>
    </comment>
    <comment ref="A12" authorId="0">
      <text>
        <r>
          <rPr>
            <sz val="10"/>
            <rFont val="Arial"/>
            <family val="2"/>
          </rPr>
          <t>In-Use Emissions from Heavy-Duty Diesel Vehicles: pubs.acs.org.ezproxy.humboldt.edu/doi/full/10.1021/es990903w</t>
        </r>
      </text>
    </comment>
    <comment ref="A16" authorId="0">
      <text>
        <r>
          <rPr>
            <sz val="10"/>
            <rFont val="Arial"/>
            <family val="2"/>
          </rPr>
          <t>In-Use Emissions from Heavy-Duty Diesel Vehicles: pubs.acs.org.ezproxy.humboldt.edu/doi/full/10.1021/es990903w</t>
        </r>
      </text>
    </comment>
    <comment ref="A11" authorId="1">
      <text>
        <r>
          <rPr>
            <b/>
            <sz val="9"/>
            <rFont val="Verdana"/>
            <family val="2"/>
          </rPr>
          <t>http://www.epa.gov/oms/climate/420f05001.htm#calculating</t>
        </r>
        <r>
          <rPr>
            <sz val="9"/>
            <rFont val="Verdana"/>
            <family val="2"/>
          </rPr>
          <t xml:space="preserve">
</t>
        </r>
      </text>
    </comment>
    <comment ref="A17" authorId="1">
      <text>
        <r>
          <rPr>
            <b/>
            <sz val="9"/>
            <rFont val="Verdana"/>
            <family val="2"/>
          </rPr>
          <t>http://www.transportation.anl.gov/pdfs/AF/557.pdf</t>
        </r>
      </text>
    </comment>
    <comment ref="E5" authorId="2">
      <text>
        <r>
          <rPr>
            <b/>
            <sz val="9"/>
            <rFont val="Tahoma"/>
            <family val="2"/>
          </rPr>
          <t>http://www.epa.gov/oms/climate/420f05001.htm#calculating</t>
        </r>
      </text>
    </comment>
    <comment ref="B17" authorId="2">
      <text>
        <r>
          <rPr>
            <b/>
            <sz val="9"/>
            <rFont val="Tahoma"/>
            <family val="2"/>
          </rPr>
          <t>*Note: Based on avg. usage of the 3 major US regions.
http://www.transportation.anl.gov/pdfs/AF/557.pdf
http://www.eia.gov/energyexplained/index.cfm?page=diesel_home</t>
        </r>
      </text>
    </comment>
    <comment ref="A13" authorId="3">
      <text>
        <r>
          <rPr>
            <b/>
            <sz val="8"/>
            <rFont val="Tahoma"/>
            <family val="2"/>
          </rPr>
          <t>http://www.polb.com/civica/filebank/blobdload.asp?BlobID=6931</t>
        </r>
        <r>
          <rPr>
            <sz val="8"/>
            <rFont val="Tahoma"/>
            <family val="2"/>
          </rPr>
          <t xml:space="preserve">
</t>
        </r>
      </text>
    </comment>
  </commentList>
</comments>
</file>

<file path=xl/comments9.xml><?xml version="1.0" encoding="utf-8"?>
<comments xmlns="http://schemas.openxmlformats.org/spreadsheetml/2006/main">
  <authors>
    <author>Danielle</author>
    <author>Student</author>
  </authors>
  <commentList>
    <comment ref="C6" authorId="0">
      <text>
        <r>
          <rPr>
            <b/>
            <sz val="9"/>
            <rFont val="Tahoma"/>
            <family val="2"/>
          </rPr>
          <t>http://people.bath.ac.uk/cj219/</t>
        </r>
      </text>
    </comment>
    <comment ref="C7" authorId="0">
      <text>
        <r>
          <rPr>
            <b/>
            <sz val="9"/>
            <rFont val="Tahoma"/>
            <family val="2"/>
          </rPr>
          <t>http://people.bath.ac.uk/cj219/</t>
        </r>
      </text>
    </comment>
    <comment ref="C9" authorId="0">
      <text>
        <r>
          <rPr>
            <b/>
            <sz val="9"/>
            <rFont val="Tahoma"/>
            <family val="2"/>
          </rPr>
          <t>http://people.bath.ac.uk/cj219/</t>
        </r>
      </text>
    </comment>
    <comment ref="D6" authorId="0">
      <text>
        <r>
          <rPr>
            <b/>
            <sz val="9"/>
            <rFont val="Tahoma"/>
            <family val="2"/>
          </rPr>
          <t>http://people.bath.ac.uk/cj219/</t>
        </r>
      </text>
    </comment>
    <comment ref="D7" authorId="0">
      <text>
        <r>
          <rPr>
            <b/>
            <sz val="9"/>
            <rFont val="Tahoma"/>
            <family val="2"/>
          </rPr>
          <t>http://people.bath.ac.uk/cj219/</t>
        </r>
      </text>
    </comment>
    <comment ref="D9" authorId="0">
      <text>
        <r>
          <rPr>
            <b/>
            <sz val="9"/>
            <rFont val="Tahoma"/>
            <family val="2"/>
          </rPr>
          <t>http://people.bath.ac.uk/cj219/</t>
        </r>
      </text>
    </comment>
    <comment ref="C8" authorId="0">
      <text>
        <r>
          <rPr>
            <b/>
            <sz val="9"/>
            <rFont val="Tahoma"/>
            <family val="2"/>
          </rPr>
          <t>From average ratio  of energy to CO2 between General Polyethylene, HDPE, and LDPE</t>
        </r>
      </text>
    </comment>
    <comment ref="F14" authorId="1">
      <text>
        <r>
          <rPr>
            <b/>
            <sz val="8"/>
            <rFont val="Tahoma"/>
            <family val="2"/>
          </rPr>
          <t>Chyi Yang Industrial Co., Ltd. -High Speed HDPE Blown Film Extrusion Machines-
http://www.b2bchinasources.com/showroom.php?c=7414&amp;f=5&amp;p=0000048339</t>
        </r>
      </text>
    </comment>
    <comment ref="F15" authorId="1">
      <text>
        <r>
          <rPr>
            <b/>
            <sz val="8"/>
            <rFont val="Tahoma"/>
            <family val="2"/>
          </rPr>
          <t>Chyi Yang Industrial Co., Ltd. -High Speed HDPE Blown Film Extrusion Machines-
http://www.b2bchinasources.com/showroom.php?c=7414&amp;f=5&amp;p=0000048339</t>
        </r>
      </text>
    </comment>
    <comment ref="B20" authorId="1">
      <text>
        <r>
          <rPr>
            <b/>
            <sz val="8"/>
            <rFont val="Tahoma"/>
            <family val="2"/>
          </rPr>
          <t>Calculated from an average of numbers from 2 sources: an online supplier of extrusion machines, and a phone interview with a major manufacturer.</t>
        </r>
      </text>
    </comment>
  </commentList>
</comments>
</file>

<file path=xl/sharedStrings.xml><?xml version="1.0" encoding="utf-8"?>
<sst xmlns="http://schemas.openxmlformats.org/spreadsheetml/2006/main" count="448" uniqueCount="311">
  <si>
    <t>Origin</t>
  </si>
  <si>
    <t>Port</t>
  </si>
  <si>
    <t>EMISSIONS</t>
  </si>
  <si>
    <t>ENERGY</t>
  </si>
  <si>
    <t>Total Energy and Emissions</t>
  </si>
  <si>
    <t>MJ/gal diesel</t>
  </si>
  <si>
    <t>MJ</t>
  </si>
  <si>
    <t>5200 Sheila Street Commerce, CA 90040</t>
  </si>
  <si>
    <t>6700 N. Highway 101 Eureka, CA</t>
  </si>
  <si>
    <t>786 E Central Ave # B San Bernardino, CA 92408</t>
  </si>
  <si>
    <t>Distance between:</t>
  </si>
  <si>
    <t>Capacity of Trash Truck (lbs)</t>
  </si>
  <si>
    <t>Power Grid Location:</t>
  </si>
  <si>
    <t>Bag Distributor</t>
  </si>
  <si>
    <t>Location</t>
  </si>
  <si>
    <t>Hydro</t>
  </si>
  <si>
    <t>Oil</t>
  </si>
  <si>
    <t>Gas</t>
  </si>
  <si>
    <t>Total</t>
  </si>
  <si>
    <t>California</t>
  </si>
  <si>
    <t>Oregon</t>
  </si>
  <si>
    <t>Grid Mix: Geographic Emissions Differences</t>
  </si>
  <si>
    <t>User Defined A</t>
  </si>
  <si>
    <t>Non-Hydro Renewable</t>
  </si>
  <si>
    <t>Simple Average</t>
  </si>
  <si>
    <t>Bunzle Distribution &amp; Ink</t>
  </si>
  <si>
    <t>US</t>
  </si>
  <si>
    <t>Total Trash Trucks Filled</t>
  </si>
  <si>
    <t>MJ/ kg plastic mix</t>
  </si>
  <si>
    <t xml:space="preserve">%  Plastic Type </t>
  </si>
  <si>
    <t>Mj</t>
  </si>
  <si>
    <t>Total Energy Embedded in  Adjusted Feedstock</t>
  </si>
  <si>
    <t>Arcata Adjusted Feedstock</t>
  </si>
  <si>
    <t>Arcata Annual Bag Use</t>
  </si>
  <si>
    <t>Fuel consumed in disposal</t>
  </si>
  <si>
    <t>Distance traveled</t>
  </si>
  <si>
    <t>mpg (diesel)</t>
  </si>
  <si>
    <t>Weight of bags</t>
  </si>
  <si>
    <t>To Landfill:</t>
  </si>
  <si>
    <t>Distances:</t>
  </si>
  <si>
    <t>Weighted Disposal Distance</t>
  </si>
  <si>
    <t>CO</t>
  </si>
  <si>
    <t>THC</t>
  </si>
  <si>
    <t>Particulate Matter (PM)</t>
  </si>
  <si>
    <t>User Defined B</t>
  </si>
  <si>
    <t>tons/truck</t>
  </si>
  <si>
    <t>lb/ton</t>
  </si>
  <si>
    <t>mpg</t>
  </si>
  <si>
    <t>lb CO2/gal</t>
  </si>
  <si>
    <t>tons/year</t>
  </si>
  <si>
    <t>lb/kg</t>
  </si>
  <si>
    <t>ft/m</t>
  </si>
  <si>
    <t>Percent</t>
  </si>
  <si>
    <t>2008 Anderson Landfill, CA</t>
  </si>
  <si>
    <t>miles</t>
  </si>
  <si>
    <t>2008 Drycreek Landfill in Medford, OR</t>
  </si>
  <si>
    <t>Number of trips</t>
  </si>
  <si>
    <t>Assumptions</t>
  </si>
  <si>
    <t>oz/kg</t>
  </si>
  <si>
    <t>j/kWh</t>
  </si>
  <si>
    <t>To Recycling:</t>
  </si>
  <si>
    <t>Fernley, NV</t>
  </si>
  <si>
    <t>Recycle/Disposal Mix:</t>
  </si>
  <si>
    <t>User Entered (on Ports Tab)</t>
  </si>
  <si>
    <t>Address(not necessary for calculation)</t>
  </si>
  <si>
    <t>Total Miles for Import</t>
  </si>
  <si>
    <t>Emissions From Production</t>
  </si>
  <si>
    <t>Total Energy</t>
  </si>
  <si>
    <t>Total Emissions</t>
  </si>
  <si>
    <t>Bag weight per 1000</t>
  </si>
  <si>
    <t>kg</t>
  </si>
  <si>
    <t>Bag Weight (for disposal)</t>
  </si>
  <si>
    <t xml:space="preserve">in3 </t>
  </si>
  <si>
    <t>Bag volume / 1000 bags</t>
  </si>
  <si>
    <t>HDPE (Virgin)</t>
  </si>
  <si>
    <t>HDPE (Recycled)</t>
  </si>
  <si>
    <t>LDPE (Virgin)</t>
  </si>
  <si>
    <t>kg CO2/ kg plastic mix</t>
  </si>
  <si>
    <t>Bag Import: Mileage and Fuel</t>
  </si>
  <si>
    <t>%  of Bags Recycled by Arcatans</t>
  </si>
  <si>
    <t>% Plastic Type</t>
  </si>
  <si>
    <t>Capacity of Trash Truck (tons)</t>
  </si>
  <si>
    <t>Distance from Port to Distributor:</t>
  </si>
  <si>
    <t>Selected port:</t>
  </si>
  <si>
    <t>Selected Distributor:</t>
  </si>
  <si>
    <t>Total bag volume</t>
  </si>
  <si>
    <t>in3</t>
  </si>
  <si>
    <t>ft3</t>
  </si>
  <si>
    <t>in3/ft3</t>
  </si>
  <si>
    <t>Volume of Semi Trailer (in3)</t>
  </si>
  <si>
    <t>Volume of Semi Trailer (ft3)</t>
  </si>
  <si>
    <t>Total Semi Trailers Filled</t>
  </si>
  <si>
    <t>Mj/kWh</t>
  </si>
  <si>
    <t>Mj/kg</t>
  </si>
  <si>
    <t>oz/plastic bag</t>
  </si>
  <si>
    <t>Oakland</t>
  </si>
  <si>
    <t>Bunzle Distribution and Ink</t>
  </si>
  <si>
    <t>Cash N' Carry</t>
  </si>
  <si>
    <t>Kormar Distribution Services</t>
  </si>
  <si>
    <t>LT Supply Warehouse</t>
  </si>
  <si>
    <t>Mendes</t>
  </si>
  <si>
    <t>Robert Hamm</t>
  </si>
  <si>
    <t>Sysco</t>
  </si>
  <si>
    <t>United Grocers</t>
  </si>
  <si>
    <t>Ports and Distributors: Distances</t>
  </si>
  <si>
    <t>Los Angeles</t>
  </si>
  <si>
    <t>trip</t>
  </si>
  <si>
    <t>China</t>
  </si>
  <si>
    <t>Vietnam</t>
  </si>
  <si>
    <t>Coal</t>
  </si>
  <si>
    <t>Nuclear</t>
  </si>
  <si>
    <t>Plastic Mix:</t>
  </si>
  <si>
    <t>General Polyethylene</t>
  </si>
  <si>
    <t>Energy Used in Bag Formation</t>
  </si>
  <si>
    <t>lbs/kg</t>
  </si>
  <si>
    <t>oz/lb</t>
  </si>
  <si>
    <t>Transportation: Trips Generated</t>
  </si>
  <si>
    <t>(Volume imported and Weight exported)</t>
  </si>
  <si>
    <t>Trips</t>
  </si>
  <si>
    <t>Total Gallons Diesel</t>
  </si>
  <si>
    <t>Particulate</t>
  </si>
  <si>
    <t>Water Usage</t>
  </si>
  <si>
    <t>Arcata Raw Feedstock</t>
  </si>
  <si>
    <t>Bag Origin</t>
  </si>
  <si>
    <t>to</t>
  </si>
  <si>
    <t xml:space="preserve">Port of Entry:  </t>
  </si>
  <si>
    <t xml:space="preserve">Distributor:  </t>
  </si>
  <si>
    <t>17365 W. Commerce Way Tracy, CA 95376</t>
  </si>
  <si>
    <t>Vietnam</t>
  </si>
  <si>
    <t>1030 W. Del Norte St Eureka, CA  95501</t>
  </si>
  <si>
    <t>740 E. Glendale Ave Sparks, NV 89431</t>
  </si>
  <si>
    <t>155 Terminal Court, South San Francisco , CA 94080</t>
  </si>
  <si>
    <t>Import Mileage</t>
  </si>
  <si>
    <t>gal water/ gal diesel</t>
  </si>
  <si>
    <t>Arcata Landfills Usage:</t>
  </si>
  <si>
    <t>Amount of Fuel Consumed in Disposal</t>
  </si>
  <si>
    <t>Fuel From Transportation</t>
  </si>
  <si>
    <t>g/gal diesel</t>
  </si>
  <si>
    <t>Truck Trips to Import Plastic Bags</t>
  </si>
  <si>
    <t>in3 / 1000 bag</t>
  </si>
  <si>
    <t>lb/1000 bag</t>
  </si>
  <si>
    <t>bag</t>
  </si>
  <si>
    <t>Total weight (lb)</t>
  </si>
  <si>
    <t>Total weight (kg)</t>
  </si>
  <si>
    <t>Total Truck Trips into Arcata</t>
  </si>
  <si>
    <t>Total Truck Trips Out of Arcata</t>
  </si>
  <si>
    <t>Truck Trips to Dispose of Plastic Bags</t>
  </si>
  <si>
    <t>Weighted Average From Plastic Mix</t>
  </si>
  <si>
    <t>Plastic Mix</t>
  </si>
  <si>
    <t>Type of Plastic:</t>
  </si>
  <si>
    <t>Production Energy</t>
  </si>
  <si>
    <t>kg/year</t>
  </si>
  <si>
    <t>% of feedstock lost in plastic bag production</t>
  </si>
  <si>
    <r>
      <t xml:space="preserve">Embedded CO2 </t>
    </r>
    <r>
      <rPr>
        <b/>
        <i/>
        <sz val="11"/>
        <color indexed="8"/>
        <rFont val="Arial"/>
        <family val="2"/>
      </rPr>
      <t>(kg CO2/kg)</t>
    </r>
  </si>
  <si>
    <r>
      <t xml:space="preserve">Embedded Energy </t>
    </r>
    <r>
      <rPr>
        <b/>
        <i/>
        <sz val="11"/>
        <color indexed="8"/>
        <rFont val="Arial"/>
        <family val="2"/>
      </rPr>
      <t>(Mj/kg)</t>
    </r>
  </si>
  <si>
    <t>To Landfill</t>
  </si>
  <si>
    <t>To Recycling</t>
  </si>
  <si>
    <t>Mileage</t>
  </si>
  <si>
    <t>Particulates</t>
  </si>
  <si>
    <t>Arcata Bag Usage</t>
  </si>
  <si>
    <t>Abstract / Intro</t>
  </si>
  <si>
    <t>truck</t>
  </si>
  <si>
    <t>Plastic Bag Impact Calculator for the City of Arcata</t>
  </si>
  <si>
    <t>Bag Disposal Impact</t>
  </si>
  <si>
    <t>Weighted Landfill Mileage</t>
  </si>
  <si>
    <t>Seattle</t>
  </si>
  <si>
    <t>Distributors</t>
  </si>
  <si>
    <t>Miles to Arcata</t>
  </si>
  <si>
    <t>Fuel for Import</t>
  </si>
  <si>
    <t>Fuel from Disposal</t>
  </si>
  <si>
    <t>Emissions</t>
  </si>
  <si>
    <t>CO2</t>
  </si>
  <si>
    <t>Pollutant</t>
  </si>
  <si>
    <t>Emissions From Transportation</t>
  </si>
  <si>
    <t>gal diesel</t>
  </si>
  <si>
    <t>gal</t>
  </si>
  <si>
    <t>Total Transport Fuel</t>
  </si>
  <si>
    <t>Water used in Diesel Manufacture</t>
  </si>
  <si>
    <t>Emissions from Transport</t>
  </si>
  <si>
    <t>lbs/1000</t>
  </si>
  <si>
    <t>N0x  (lb/MWh)</t>
  </si>
  <si>
    <t>Particulates  (lb/MWh)</t>
  </si>
  <si>
    <t>Water  (gal/MWh)</t>
  </si>
  <si>
    <t>Emissions By Grid Location</t>
  </si>
  <si>
    <t>(lb/MWh)</t>
  </si>
  <si>
    <t>(gal/MWh)</t>
  </si>
  <si>
    <t>MJ/MWh</t>
  </si>
  <si>
    <t>(lb)</t>
  </si>
  <si>
    <t>(gal)</t>
  </si>
  <si>
    <t>NOx</t>
  </si>
  <si>
    <t>lb NOx</t>
  </si>
  <si>
    <t>lb SOx</t>
  </si>
  <si>
    <t>SOx</t>
  </si>
  <si>
    <t>User Interface:  Data and Assumption Entry</t>
  </si>
  <si>
    <t>User Input Values</t>
  </si>
  <si>
    <t>lb</t>
  </si>
  <si>
    <t>ton/truck</t>
  </si>
  <si>
    <t>Total Production Energy</t>
  </si>
  <si>
    <t>Distance (Round Trip)</t>
  </si>
  <si>
    <t>Truck capacity/trip</t>
  </si>
  <si>
    <t>mile</t>
  </si>
  <si>
    <t>SO2</t>
  </si>
  <si>
    <t>Shipping Route</t>
  </si>
  <si>
    <t>bags/box</t>
  </si>
  <si>
    <t>None (domestic)</t>
  </si>
  <si>
    <t>Origin:</t>
  </si>
  <si>
    <t>mi</t>
  </si>
  <si>
    <t>Truck Mileage (shipping truck)</t>
  </si>
  <si>
    <t>Total Truck Miles for Import (round trip)</t>
  </si>
  <si>
    <t>Ship Miles for Import (one-way trip)</t>
  </si>
  <si>
    <t>Gallons of Fuel from Truck Import</t>
  </si>
  <si>
    <t>Gallons of Fuel from Ship Import</t>
  </si>
  <si>
    <t>teu</t>
  </si>
  <si>
    <t>avg knots</t>
  </si>
  <si>
    <t>tons fuel/day</t>
  </si>
  <si>
    <t>mph/knot</t>
  </si>
  <si>
    <t>hr/day</t>
  </si>
  <si>
    <t xml:space="preserve"> in3/ft3</t>
  </si>
  <si>
    <t>in3/plastic bag</t>
  </si>
  <si>
    <t>avg mph</t>
  </si>
  <si>
    <t>lb/gal</t>
  </si>
  <si>
    <t>hours</t>
  </si>
  <si>
    <t>day</t>
  </si>
  <si>
    <t xml:space="preserve"> ft3 per teu</t>
  </si>
  <si>
    <t>tons fuel/trip</t>
  </si>
  <si>
    <t>ft3/ship</t>
  </si>
  <si>
    <t>percent of volume</t>
  </si>
  <si>
    <t>in3/ship</t>
  </si>
  <si>
    <t>tons fuel per bags</t>
  </si>
  <si>
    <t>in3/1000 plastic bags</t>
  </si>
  <si>
    <t>Total Gallons from Import</t>
  </si>
  <si>
    <t>N0x</t>
  </si>
  <si>
    <t>Grix Mix By Location (Percent)</t>
  </si>
  <si>
    <t>Products</t>
  </si>
  <si>
    <t>lb CO2</t>
  </si>
  <si>
    <t>lb CO</t>
  </si>
  <si>
    <t>lb THC</t>
  </si>
  <si>
    <t>lb PM</t>
  </si>
  <si>
    <t>g/lb</t>
  </si>
  <si>
    <t>gal Water</t>
  </si>
  <si>
    <t>Water</t>
  </si>
  <si>
    <t>Emissions By Energy Type</t>
  </si>
  <si>
    <t>CO2  (lb/MWh)</t>
  </si>
  <si>
    <t>CO  (lb/MWh)</t>
  </si>
  <si>
    <t>SO2  (lb/MWh)</t>
  </si>
  <si>
    <t>Total Energy in MJ</t>
  </si>
  <si>
    <t>gal (diesel)</t>
  </si>
  <si>
    <t>Import Transportation Energy</t>
  </si>
  <si>
    <t>Disposal Transportation Energy</t>
  </si>
  <si>
    <t>Feedstock Energy</t>
  </si>
  <si>
    <t>Bag Manufacture Energy</t>
  </si>
  <si>
    <t>Does not consider how many bags come from each dest.</t>
  </si>
  <si>
    <t>Plastic Bag Extrusion Machine</t>
  </si>
  <si>
    <t xml:space="preserve"> kg/hr</t>
  </si>
  <si>
    <t>kW</t>
  </si>
  <si>
    <t>Energy used to extrude plastic bags (Mj/kg)</t>
  </si>
  <si>
    <t>Output</t>
  </si>
  <si>
    <t xml:space="preserve">      The purpose of this spreadsheet is to allow a user to calculate the life-cycle embedded energy and emissions of plastic bags in Arcata, CA. The sheet names provide a distilled list of the main factors from which the calculations were made.The User Interface sheet provides all the basic inputs and outputs, and allows the user a great degree of customization. It offers inputs for the total number of plastic bags, the percent of bags recyled, and types of plastic in the bags by percent. There is a list of major distributors to choose from. The list was compiled from a survey of Arcata stores (conducted by the creators of the spreadsheet), and includes distributors from the U.S., Vietnam and China, automatically calculating their distances. There is the option to include a user defined distance for a distributor. The user may also choose from three ports of entry for foreign distributors. There are four separate power grids to choose from, which affect the output of emissions. The user may also enter two of their own power grids by percent per energy source.</t>
  </si>
  <si>
    <r>
      <t>CO</t>
    </r>
    <r>
      <rPr>
        <vertAlign val="subscript"/>
        <sz val="11"/>
        <rFont val="Arial"/>
        <family val="2"/>
      </rPr>
      <t>2</t>
    </r>
  </si>
  <si>
    <t>Manufacture (i.e. extrusion not feedstock) Energy</t>
  </si>
  <si>
    <t>Port of Entry into US(if imported)</t>
  </si>
  <si>
    <t>MJ/year</t>
  </si>
  <si>
    <t>Days in a school year</t>
  </si>
  <si>
    <t xml:space="preserve">      The User Interface is meant to be the main page for use. The Comparisons tab provides some everyday perspective on the relative amounts of C02 created and energy used by plastic bags, and automatically reflects changes to the User Interface. The subsequent sheets provide an in depth look at the information, calculations, and sources used. They also provide some added customization available for power grids and distributor location/distance, as noted on the User Interface. The final sheet, Production Emissions, provides a more in depth breakdown of embedded energy and emissions.</t>
  </si>
  <si>
    <t>Wh/kWh</t>
  </si>
  <si>
    <t>W</t>
  </si>
  <si>
    <t>A</t>
  </si>
  <si>
    <t>mi/gal</t>
  </si>
  <si>
    <t>MJ/gal</t>
  </si>
  <si>
    <t>Total bag MJ</t>
  </si>
  <si>
    <t>mi/roundtrip MCK to HSU</t>
  </si>
  <si>
    <t>g C02/gal</t>
  </si>
  <si>
    <t>Sea Miles Distance from Origin to Port:</t>
  </si>
  <si>
    <t>Ground Miles Distance from Distributor to Arcata:</t>
  </si>
  <si>
    <t>14W CFL for 1 day</t>
  </si>
  <si>
    <t>Impacts for the chosen values</t>
  </si>
  <si>
    <t>Equivalent Energy</t>
  </si>
  <si>
    <t>Flight from New York to LA</t>
  </si>
  <si>
    <t>lb CO2/trip</t>
  </si>
  <si>
    <t>A modest bath</t>
  </si>
  <si>
    <t xml:space="preserve">A year of cell phone use 1 hr/day </t>
  </si>
  <si>
    <t>lb/person</t>
  </si>
  <si>
    <t>To make a laptop</t>
  </si>
  <si>
    <t>A newspaper</t>
  </si>
  <si>
    <r>
      <t>Equivalent CO</t>
    </r>
    <r>
      <rPr>
        <b/>
        <vertAlign val="subscript"/>
        <sz val="11"/>
        <rFont val="Arial"/>
        <family val="2"/>
      </rPr>
      <t>2</t>
    </r>
  </si>
  <si>
    <t>MJ/trip</t>
  </si>
  <si>
    <t>2010 Chevy Tahoe 1500 2WD</t>
  </si>
  <si>
    <t>Arcata to San Francisco</t>
  </si>
  <si>
    <t>Total gas from trip</t>
  </si>
  <si>
    <t>Total energy from trip</t>
  </si>
  <si>
    <t>Total CO2 emitted from trip</t>
  </si>
  <si>
    <t>Energy Comparisons</t>
  </si>
  <si>
    <t>laptops manufactured</t>
  </si>
  <si>
    <t>flights from New York to LA</t>
  </si>
  <si>
    <t>one way trips to SF in a '10 Chevy Tahoe</t>
  </si>
  <si>
    <t>Desktop computer energy use</t>
  </si>
  <si>
    <t>PC monitor energy use</t>
  </si>
  <si>
    <t>day/year</t>
  </si>
  <si>
    <t>W/kW</t>
  </si>
  <si>
    <t>Computer use</t>
  </si>
  <si>
    <t>desktop computers turned on 8 hours</t>
  </si>
  <si>
    <t>Energy and C02 Comparisons</t>
  </si>
  <si>
    <r>
      <t>C0</t>
    </r>
    <r>
      <rPr>
        <b/>
        <vertAlign val="subscript"/>
        <sz val="14"/>
        <color indexed="22"/>
        <rFont val="Arial"/>
        <family val="2"/>
      </rPr>
      <t>2</t>
    </r>
    <r>
      <rPr>
        <b/>
        <sz val="14"/>
        <color indexed="22"/>
        <rFont val="Arial"/>
        <family val="2"/>
      </rPr>
      <t xml:space="preserve"> Comparisons</t>
    </r>
  </si>
  <si>
    <t>Percent By Type of Plastic</t>
  </si>
  <si>
    <t>User Defined A (Grid Mix tab)</t>
  </si>
  <si>
    <t>User Defined B (Grid Mix tab)</t>
  </si>
  <si>
    <t>Power Grid of Manufacture</t>
  </si>
  <si>
    <t>Chart Title</t>
  </si>
  <si>
    <t>Enter values values and see results on this page. 
* Hover over cells with a little red corner for comments on that cell.  
* Input, or select data, in cells with green text.   If an arrow appears beside a cell you have selected, then click it and select a value from the drop down menu. 
* The values are automatically applied to the entire spreadsheet, and simple results are shown below.
* Remaining sheets have higher detail calculations.</t>
  </si>
  <si>
    <t xml:space="preserve"> per day for one year</t>
  </si>
  <si>
    <t>This spreadsheet was created by the students of Lonny Grafman's ENGR 308 class in the fall of 2010. They compiled the data from an array of sources (noted in cell comments), including a survey of Arcata stores they conducted. See http://www.appropedia.org/Arcata_plastic_bags for more!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</si>
</sst>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_(* #,##0_);_(* \(#,##0\);_(* &quot;-&quot;??_);_(@_)"/>
    <numFmt numFmtId="170" formatCode="_(* #,##0.0_);_(* \(#,##0.0\);_(* &quot;-&quot;??_);_(@_)"/>
  </numFmts>
  <fonts count="119">
    <font>
      <sz val="10"/>
      <name val="Verdana"/>
      <family val="0"/>
    </font>
    <font>
      <sz val="11"/>
      <color indexed="8"/>
      <name val="Calibri"/>
      <family val="2"/>
    </font>
    <font>
      <b/>
      <sz val="10"/>
      <name val="Verdana"/>
      <family val="2"/>
    </font>
    <font>
      <u val="single"/>
      <sz val="10"/>
      <color indexed="12"/>
      <name val="Verdana"/>
      <family val="2"/>
    </font>
    <font>
      <sz val="10"/>
      <name val="Arial"/>
      <family val="2"/>
    </font>
    <font>
      <sz val="8"/>
      <name val="Verdana"/>
      <family val="2"/>
    </font>
    <font>
      <sz val="11"/>
      <color indexed="8"/>
      <name val="Arial"/>
      <family val="2"/>
    </font>
    <font>
      <b/>
      <sz val="14"/>
      <name val="Arial"/>
      <family val="2"/>
    </font>
    <font>
      <sz val="10"/>
      <color indexed="12"/>
      <name val="Arial"/>
      <family val="2"/>
    </font>
    <font>
      <sz val="10"/>
      <color indexed="12"/>
      <name val="Verdana"/>
      <family val="2"/>
    </font>
    <font>
      <b/>
      <sz val="20"/>
      <name val="Arial"/>
      <family val="2"/>
    </font>
    <font>
      <b/>
      <sz val="11"/>
      <name val="Arial"/>
      <family val="2"/>
    </font>
    <font>
      <sz val="11"/>
      <name val="Arial"/>
      <family val="2"/>
    </font>
    <font>
      <sz val="11"/>
      <color indexed="12"/>
      <name val="Arial"/>
      <family val="2"/>
    </font>
    <font>
      <sz val="11"/>
      <name val="Verdana"/>
      <family val="2"/>
    </font>
    <font>
      <b/>
      <sz val="11"/>
      <color indexed="8"/>
      <name val="Arial"/>
      <family val="2"/>
    </font>
    <font>
      <sz val="11"/>
      <color indexed="55"/>
      <name val="Arial"/>
      <family val="2"/>
    </font>
    <font>
      <sz val="11"/>
      <color indexed="53"/>
      <name val="Arial"/>
      <family val="2"/>
    </font>
    <font>
      <b/>
      <sz val="18"/>
      <color indexed="8"/>
      <name val="Arial"/>
      <family val="2"/>
    </font>
    <font>
      <b/>
      <sz val="11"/>
      <color indexed="12"/>
      <name val="Arial"/>
      <family val="2"/>
    </font>
    <font>
      <b/>
      <sz val="10"/>
      <color indexed="12"/>
      <name val="Verdana"/>
      <family val="2"/>
    </font>
    <font>
      <b/>
      <sz val="11"/>
      <color indexed="53"/>
      <name val="Arial"/>
      <family val="2"/>
    </font>
    <font>
      <sz val="11"/>
      <color indexed="12"/>
      <name val="Verdana"/>
      <family val="2"/>
    </font>
    <font>
      <u val="single"/>
      <sz val="11"/>
      <color indexed="12"/>
      <name val="Arial"/>
      <family val="2"/>
    </font>
    <font>
      <b/>
      <u val="single"/>
      <sz val="11"/>
      <color indexed="12"/>
      <name val="Arial"/>
      <family val="2"/>
    </font>
    <font>
      <sz val="9"/>
      <name val="Verdana"/>
      <family val="2"/>
    </font>
    <font>
      <b/>
      <sz val="9"/>
      <name val="Verdana"/>
      <family val="2"/>
    </font>
    <font>
      <b/>
      <sz val="9"/>
      <name val="Tahoma"/>
      <family val="2"/>
    </font>
    <font>
      <b/>
      <sz val="14"/>
      <color indexed="8"/>
      <name val="Arial"/>
      <family val="2"/>
    </font>
    <font>
      <sz val="14"/>
      <name val="Arial"/>
      <family val="2"/>
    </font>
    <font>
      <b/>
      <sz val="13"/>
      <name val="Arial"/>
      <family val="2"/>
    </font>
    <font>
      <b/>
      <i/>
      <sz val="11"/>
      <color indexed="8"/>
      <name val="Arial"/>
      <family val="2"/>
    </font>
    <font>
      <b/>
      <sz val="20"/>
      <color indexed="8"/>
      <name val="Arial"/>
      <family val="2"/>
    </font>
    <font>
      <sz val="10"/>
      <color indexed="53"/>
      <name val="Arial"/>
      <family val="2"/>
    </font>
    <font>
      <i/>
      <sz val="11"/>
      <color indexed="23"/>
      <name val="Arial"/>
      <family val="2"/>
    </font>
    <font>
      <sz val="10"/>
      <color indexed="8"/>
      <name val="Arial"/>
      <family val="2"/>
    </font>
    <font>
      <sz val="8"/>
      <name val="Tahoma"/>
      <family val="2"/>
    </font>
    <font>
      <b/>
      <sz val="8"/>
      <name val="Tahoma"/>
      <family val="2"/>
    </font>
    <font>
      <b/>
      <sz val="18"/>
      <name val="Arial"/>
      <family val="2"/>
    </font>
    <font>
      <sz val="10"/>
      <color indexed="8"/>
      <name val="Verdana"/>
      <family val="2"/>
    </font>
    <font>
      <b/>
      <sz val="10"/>
      <color indexed="8"/>
      <name val="Verdana"/>
      <family val="2"/>
    </font>
    <font>
      <sz val="14"/>
      <color indexed="8"/>
      <name val="Arial"/>
      <family val="2"/>
    </font>
    <font>
      <b/>
      <sz val="10"/>
      <color indexed="8"/>
      <name val="Arial"/>
      <family val="2"/>
    </font>
    <font>
      <b/>
      <sz val="16"/>
      <name val="Arial"/>
      <family val="2"/>
    </font>
    <font>
      <b/>
      <sz val="10"/>
      <name val="Arial"/>
      <family val="2"/>
    </font>
    <font>
      <sz val="12"/>
      <name val="Arial"/>
      <family val="2"/>
    </font>
    <font>
      <b/>
      <sz val="22"/>
      <name val="Arial"/>
      <family val="2"/>
    </font>
    <font>
      <i/>
      <sz val="11"/>
      <color indexed="23"/>
      <name val="Calibri"/>
      <family val="2"/>
    </font>
    <font>
      <i/>
      <sz val="10"/>
      <color indexed="23"/>
      <name val="Verdana"/>
      <family val="2"/>
    </font>
    <font>
      <i/>
      <sz val="9"/>
      <color indexed="23"/>
      <name val="Arial"/>
      <family val="2"/>
    </font>
    <font>
      <vertAlign val="subscript"/>
      <sz val="11"/>
      <name val="Arial"/>
      <family val="2"/>
    </font>
    <font>
      <b/>
      <sz val="11"/>
      <color indexed="17"/>
      <name val="Arial"/>
      <family val="2"/>
    </font>
    <font>
      <sz val="11"/>
      <color indexed="17"/>
      <name val="Arial"/>
      <family val="2"/>
    </font>
    <font>
      <b/>
      <i/>
      <sz val="11"/>
      <color indexed="23"/>
      <name val="Arial"/>
      <family val="2"/>
    </font>
    <font>
      <b/>
      <sz val="11"/>
      <color indexed="55"/>
      <name val="Arial"/>
      <family val="2"/>
    </font>
    <font>
      <b/>
      <sz val="11"/>
      <color indexed="23"/>
      <name val="Arial"/>
      <family val="2"/>
    </font>
    <font>
      <b/>
      <vertAlign val="subscript"/>
      <sz val="11"/>
      <name val="Arial"/>
      <family val="2"/>
    </font>
    <font>
      <b/>
      <sz val="11"/>
      <color indexed="22"/>
      <name val="Arial"/>
      <family val="2"/>
    </font>
    <font>
      <b/>
      <sz val="14"/>
      <color indexed="22"/>
      <name val="Arial"/>
      <family val="2"/>
    </font>
    <font>
      <sz val="10"/>
      <color indexed="17"/>
      <name val="Arial"/>
      <family val="2"/>
    </font>
    <font>
      <b/>
      <sz val="10"/>
      <color indexed="17"/>
      <name val="Arial"/>
      <family val="2"/>
    </font>
    <font>
      <i/>
      <sz val="10"/>
      <color indexed="23"/>
      <name val="Arial"/>
      <family val="2"/>
    </font>
    <font>
      <b/>
      <i/>
      <sz val="10"/>
      <color indexed="23"/>
      <name val="Arial"/>
      <family val="2"/>
    </font>
    <font>
      <i/>
      <sz val="10"/>
      <color indexed="55"/>
      <name val="Arial"/>
      <family val="2"/>
    </font>
    <font>
      <b/>
      <vertAlign val="subscript"/>
      <sz val="14"/>
      <color indexed="22"/>
      <name val="Arial"/>
      <family val="2"/>
    </font>
    <font>
      <sz val="9"/>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9"/>
      <name val="Calibri"/>
      <family val="2"/>
    </font>
    <font>
      <sz val="11"/>
      <color indexed="9"/>
      <name val="Calibri"/>
      <family val="2"/>
    </font>
    <font>
      <b/>
      <sz val="11"/>
      <color indexed="22"/>
      <name val="Calibri"/>
      <family val="2"/>
    </font>
    <font>
      <sz val="11"/>
      <color indexed="53"/>
      <name val="Calibri"/>
      <family val="2"/>
    </font>
    <font>
      <b/>
      <sz val="11"/>
      <color indexed="8"/>
      <name val="Calibri"/>
      <family val="2"/>
    </font>
    <font>
      <sz val="11"/>
      <color indexed="22"/>
      <name val="Calibri"/>
      <family val="2"/>
    </font>
    <font>
      <sz val="10"/>
      <color indexed="8"/>
      <name val="Calibri"/>
      <family val="0"/>
    </font>
    <font>
      <b/>
      <sz val="12"/>
      <color indexed="8"/>
      <name val="Calibri"/>
      <family val="0"/>
    </font>
    <font>
      <sz val="9.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0" tint="-0.4999699890613556"/>
      <name val="Arial"/>
      <family val="2"/>
    </font>
    <font>
      <i/>
      <sz val="9"/>
      <color theme="0" tint="-0.4999699890613556"/>
      <name val="Arial"/>
      <family val="2"/>
    </font>
    <font>
      <sz val="11"/>
      <color rgb="FFFF0000"/>
      <name val="Arial"/>
      <family val="2"/>
    </font>
    <font>
      <sz val="11"/>
      <color rgb="FF006600"/>
      <name val="Arial"/>
      <family val="2"/>
    </font>
    <font>
      <b/>
      <sz val="11"/>
      <color rgb="FF006600"/>
      <name val="Arial"/>
      <family val="2"/>
    </font>
    <font>
      <b/>
      <sz val="11"/>
      <color theme="1"/>
      <name val="Arial"/>
      <family val="2"/>
    </font>
    <font>
      <b/>
      <sz val="11"/>
      <color theme="0" tint="-0.4999699890613556"/>
      <name val="Arial"/>
      <family val="2"/>
    </font>
    <font>
      <b/>
      <i/>
      <sz val="11"/>
      <color theme="0" tint="-0.4999699890613556"/>
      <name val="Arial"/>
      <family val="2"/>
    </font>
    <font>
      <b/>
      <sz val="11"/>
      <color theme="0" tint="-0.04997999966144562"/>
      <name val="Arial"/>
      <family val="2"/>
    </font>
    <font>
      <sz val="10"/>
      <color rgb="FF006600"/>
      <name val="Arial"/>
      <family val="2"/>
    </font>
    <font>
      <b/>
      <i/>
      <sz val="10"/>
      <color theme="0" tint="-0.4999699890613556"/>
      <name val="Arial"/>
      <family val="2"/>
    </font>
    <font>
      <i/>
      <sz val="10"/>
      <color theme="0" tint="-0.4999699890613556"/>
      <name val="Arial"/>
      <family val="2"/>
    </font>
    <font>
      <i/>
      <sz val="11"/>
      <color rgb="FF7F7F7F"/>
      <name val="Arial"/>
      <family val="2"/>
    </font>
    <font>
      <i/>
      <sz val="10"/>
      <color theme="0" tint="-0.4999699890613556"/>
      <name val="Verdana"/>
      <family val="2"/>
    </font>
    <font>
      <i/>
      <sz val="10"/>
      <color rgb="FF7F7F7F"/>
      <name val="Arial"/>
      <family val="2"/>
    </font>
    <font>
      <b/>
      <sz val="10"/>
      <color rgb="FF006600"/>
      <name val="Arial"/>
      <family val="2"/>
    </font>
    <font>
      <b/>
      <sz val="14"/>
      <color theme="0" tint="-0.04997999966144562"/>
      <name val="Arial"/>
      <family val="2"/>
    </font>
    <font>
      <b/>
      <sz val="8"/>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style="thin"/>
      <top/>
      <bottom style="thin"/>
    </border>
    <border>
      <left/>
      <right style="thin"/>
      <top/>
      <bottom/>
    </border>
    <border>
      <left style="thin"/>
      <right style="thin"/>
      <top/>
      <bottom/>
    </border>
    <border>
      <left style="thin"/>
      <right/>
      <top style="thin"/>
      <bottom/>
    </border>
    <border>
      <left/>
      <right style="thin"/>
      <top style="thin"/>
      <bottom/>
    </border>
    <border>
      <left style="thin"/>
      <right style="thin"/>
      <top style="thin"/>
      <bottom/>
    </border>
    <border>
      <left style="thin"/>
      <right/>
      <top/>
      <bottom/>
    </border>
    <border>
      <left/>
      <right/>
      <top style="thin"/>
      <bottom/>
    </border>
    <border>
      <left/>
      <right/>
      <top/>
      <bottom style="thin"/>
    </border>
    <border>
      <left style="thin"/>
      <right/>
      <top style="thin"/>
      <bottom style="thin"/>
    </border>
    <border>
      <left style="thin"/>
      <right style="thin"/>
      <top/>
      <bottom style="thin"/>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right style="medium"/>
      <top style="medium"/>
      <bottom/>
    </border>
    <border>
      <left style="medium"/>
      <right/>
      <top style="medium"/>
      <bottom/>
    </border>
    <border>
      <left/>
      <right/>
      <top style="medium"/>
      <bottom/>
    </border>
    <border>
      <left/>
      <right style="thin"/>
      <top style="medium"/>
      <bottom style="medium"/>
    </border>
    <border>
      <left style="medium"/>
      <right style="thin"/>
      <top style="medium"/>
      <bottom style="thin"/>
    </border>
    <border>
      <left style="thin"/>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4" fillId="0" borderId="0">
      <alignment vertical="center"/>
      <protection/>
    </xf>
    <xf numFmtId="0" fontId="4" fillId="0" borderId="0">
      <alignment vertical="center"/>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763">
    <xf numFmtId="0" fontId="0" fillId="0" borderId="0" xfId="0" applyAlignment="1">
      <alignment/>
    </xf>
    <xf numFmtId="0" fontId="4" fillId="0" borderId="0" xfId="57">
      <alignment vertical="center"/>
      <protection/>
    </xf>
    <xf numFmtId="0" fontId="4" fillId="0" borderId="0" xfId="0" applyFont="1" applyAlignment="1">
      <alignment/>
    </xf>
    <xf numFmtId="0" fontId="8" fillId="0" borderId="0" xfId="0" applyFont="1" applyAlignment="1">
      <alignment/>
    </xf>
    <xf numFmtId="0" fontId="9" fillId="0" borderId="0" xfId="0" applyFont="1" applyAlignment="1">
      <alignment/>
    </xf>
    <xf numFmtId="0" fontId="12" fillId="0" borderId="0" xfId="0" applyFont="1" applyAlignment="1">
      <alignment/>
    </xf>
    <xf numFmtId="0" fontId="12" fillId="0" borderId="0" xfId="0" applyFont="1" applyAlignment="1">
      <alignment/>
    </xf>
    <xf numFmtId="0" fontId="12" fillId="0" borderId="0" xfId="0" applyFont="1" applyAlignment="1">
      <alignment wrapText="1"/>
    </xf>
    <xf numFmtId="0" fontId="13" fillId="0" borderId="0" xfId="0" applyFont="1" applyAlignment="1">
      <alignment/>
    </xf>
    <xf numFmtId="0" fontId="14" fillId="0" borderId="0" xfId="0" applyFont="1" applyAlignment="1">
      <alignment/>
    </xf>
    <xf numFmtId="0" fontId="11" fillId="0" borderId="0" xfId="0" applyFont="1" applyAlignment="1">
      <alignment/>
    </xf>
    <xf numFmtId="0" fontId="12" fillId="0" borderId="0" xfId="57" applyFont="1">
      <alignment vertical="center"/>
      <protection/>
    </xf>
    <xf numFmtId="0" fontId="16" fillId="0" borderId="0" xfId="57" applyNumberFormat="1" applyFont="1" applyFill="1" applyAlignment="1">
      <alignment horizontal="right"/>
      <protection/>
    </xf>
    <xf numFmtId="0" fontId="16" fillId="0" borderId="0" xfId="57" applyNumberFormat="1" applyFont="1" applyFill="1" applyAlignment="1">
      <alignment horizontal="left"/>
      <protection/>
    </xf>
    <xf numFmtId="0" fontId="13" fillId="0" borderId="0" xfId="57" applyFont="1">
      <alignment vertical="center"/>
      <protection/>
    </xf>
    <xf numFmtId="0" fontId="19" fillId="0" borderId="0" xfId="57" applyFont="1">
      <alignment vertical="center"/>
      <protection/>
    </xf>
    <xf numFmtId="1" fontId="13" fillId="0" borderId="0" xfId="57" applyNumberFormat="1" applyFont="1">
      <alignment vertical="center"/>
      <protection/>
    </xf>
    <xf numFmtId="0" fontId="8" fillId="0" borderId="0" xfId="57" applyFont="1">
      <alignment vertical="center"/>
      <protection/>
    </xf>
    <xf numFmtId="0" fontId="20" fillId="0" borderId="0" xfId="0" applyFont="1" applyAlignment="1">
      <alignment/>
    </xf>
    <xf numFmtId="0" fontId="19" fillId="0" borderId="0" xfId="0" applyFont="1" applyAlignment="1">
      <alignment/>
    </xf>
    <xf numFmtId="1" fontId="13" fillId="0" borderId="0" xfId="0" applyNumberFormat="1" applyFont="1" applyAlignment="1">
      <alignment/>
    </xf>
    <xf numFmtId="0" fontId="6" fillId="0" borderId="0" xfId="0" applyFont="1" applyAlignment="1">
      <alignment horizontal="center"/>
    </xf>
    <xf numFmtId="0" fontId="21" fillId="0" borderId="0" xfId="0" applyFont="1" applyAlignment="1">
      <alignment/>
    </xf>
    <xf numFmtId="0" fontId="12" fillId="0" borderId="0" xfId="0" applyFont="1" applyAlignment="1">
      <alignment vertical="center"/>
    </xf>
    <xf numFmtId="0" fontId="22" fillId="0" borderId="0" xfId="0" applyFont="1" applyAlignment="1">
      <alignment/>
    </xf>
    <xf numFmtId="0" fontId="17" fillId="0" borderId="0" xfId="0" applyFont="1" applyAlignment="1">
      <alignment vertical="center"/>
    </xf>
    <xf numFmtId="3" fontId="19" fillId="0" borderId="10" xfId="0" applyNumberFormat="1" applyFont="1" applyBorder="1" applyAlignment="1">
      <alignment wrapText="1"/>
    </xf>
    <xf numFmtId="0" fontId="0" fillId="0" borderId="0" xfId="0" applyAlignment="1">
      <alignment wrapText="1"/>
    </xf>
    <xf numFmtId="0" fontId="12" fillId="0" borderId="0" xfId="0" applyFont="1" applyAlignment="1">
      <alignment/>
    </xf>
    <xf numFmtId="0" fontId="12" fillId="0" borderId="0" xfId="0" applyFont="1" applyAlignment="1">
      <alignment vertical="center" wrapText="1"/>
    </xf>
    <xf numFmtId="0" fontId="12" fillId="0" borderId="0" xfId="0" applyFont="1" applyBorder="1" applyAlignment="1">
      <alignment/>
    </xf>
    <xf numFmtId="0" fontId="4"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17" fillId="0" borderId="0" xfId="0" applyFont="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2" fillId="0" borderId="0" xfId="0" applyFont="1" applyBorder="1" applyAlignment="1">
      <alignment/>
    </xf>
    <xf numFmtId="0" fontId="18" fillId="0" borderId="0" xfId="57" applyNumberFormat="1" applyFont="1" applyFill="1" applyBorder="1" applyAlignment="1">
      <alignment horizontal="center" vertical="center"/>
      <protection/>
    </xf>
    <xf numFmtId="0" fontId="10" fillId="0" borderId="0" xfId="0" applyFont="1" applyAlignment="1">
      <alignment vertical="center"/>
    </xf>
    <xf numFmtId="0" fontId="3" fillId="0" borderId="0" xfId="52" applyNumberFormat="1" applyFont="1" applyFill="1" applyAlignment="1" applyProtection="1">
      <alignment horizontal="left" vertical="center"/>
      <protection/>
    </xf>
    <xf numFmtId="0" fontId="12" fillId="0" borderId="0" xfId="0" applyFont="1" applyAlignment="1">
      <alignment vertical="center"/>
    </xf>
    <xf numFmtId="0" fontId="13" fillId="0" borderId="0" xfId="0" applyFont="1" applyAlignment="1">
      <alignment vertical="center"/>
    </xf>
    <xf numFmtId="0" fontId="6" fillId="0" borderId="0" xfId="56" applyNumberFormat="1" applyFont="1" applyFill="1" applyBorder="1" applyAlignment="1">
      <alignment horizontal="center" vertical="center"/>
      <protection/>
    </xf>
    <xf numFmtId="0" fontId="12" fillId="0" borderId="0" xfId="0" applyFont="1" applyBorder="1" applyAlignment="1">
      <alignment vertical="center"/>
    </xf>
    <xf numFmtId="0" fontId="12" fillId="0" borderId="12" xfId="0" applyFont="1" applyBorder="1" applyAlignment="1">
      <alignment vertical="center"/>
    </xf>
    <xf numFmtId="0" fontId="30" fillId="0" borderId="0" xfId="0" applyFont="1" applyBorder="1" applyAlignment="1">
      <alignment horizontal="center" vertical="center"/>
    </xf>
    <xf numFmtId="0" fontId="6" fillId="0" borderId="13" xfId="56" applyNumberFormat="1" applyFont="1" applyFill="1" applyBorder="1" applyAlignment="1">
      <alignment horizontal="center" vertical="center"/>
      <protection/>
    </xf>
    <xf numFmtId="0" fontId="12" fillId="0" borderId="0" xfId="0" applyFont="1" applyBorder="1" applyAlignment="1">
      <alignment vertical="center"/>
    </xf>
    <xf numFmtId="0" fontId="11" fillId="0" borderId="0" xfId="0" applyFont="1" applyBorder="1" applyAlignment="1">
      <alignment vertical="center"/>
    </xf>
    <xf numFmtId="0" fontId="15" fillId="0" borderId="14" xfId="56" applyNumberFormat="1" applyFont="1" applyFill="1" applyBorder="1" applyAlignment="1">
      <alignment horizontal="left" vertical="center"/>
      <protection/>
    </xf>
    <xf numFmtId="0" fontId="11" fillId="0" borderId="14" xfId="0" applyFont="1" applyBorder="1" applyAlignment="1">
      <alignment horizontal="left" vertical="center"/>
    </xf>
    <xf numFmtId="0" fontId="7" fillId="0" borderId="0" xfId="0" applyFont="1" applyBorder="1" applyAlignment="1">
      <alignment vertical="center"/>
    </xf>
    <xf numFmtId="0" fontId="10" fillId="0" borderId="0" xfId="0" applyFont="1" applyBorder="1" applyAlignment="1">
      <alignment vertical="center"/>
    </xf>
    <xf numFmtId="0" fontId="19" fillId="0" borderId="0" xfId="0" applyFont="1" applyBorder="1" applyAlignment="1">
      <alignment horizontal="right" vertical="center"/>
    </xf>
    <xf numFmtId="0" fontId="12" fillId="0" borderId="0" xfId="0" applyFont="1" applyBorder="1" applyAlignment="1">
      <alignment horizontal="right" vertical="center"/>
    </xf>
    <xf numFmtId="0" fontId="0" fillId="0" borderId="0" xfId="0" applyBorder="1" applyAlignment="1">
      <alignment vertical="center"/>
    </xf>
    <xf numFmtId="0" fontId="12" fillId="0" borderId="0" xfId="0" applyNumberFormat="1" applyFont="1" applyFill="1" applyBorder="1" applyAlignment="1">
      <alignment vertical="center" wrapText="1"/>
    </xf>
    <xf numFmtId="1" fontId="12" fillId="0" borderId="0" xfId="0" applyNumberFormat="1" applyFont="1" applyFill="1" applyBorder="1" applyAlignment="1">
      <alignment vertical="center" wrapText="1"/>
    </xf>
    <xf numFmtId="0" fontId="24" fillId="0" borderId="0" xfId="52" applyNumberFormat="1" applyFont="1" applyFill="1" applyAlignment="1" applyProtection="1">
      <alignment vertical="center" wrapText="1"/>
      <protection/>
    </xf>
    <xf numFmtId="0" fontId="14" fillId="0" borderId="0" xfId="0" applyFont="1" applyBorder="1" applyAlignment="1">
      <alignment vertical="center"/>
    </xf>
    <xf numFmtId="0" fontId="3" fillId="0" borderId="0" xfId="52" applyNumberFormat="1" applyFont="1" applyFill="1" applyAlignment="1" applyProtection="1">
      <alignment vertical="center" wrapText="1"/>
      <protection/>
    </xf>
    <xf numFmtId="2" fontId="12" fillId="0" borderId="0" xfId="0" applyNumberFormat="1" applyFont="1" applyBorder="1" applyAlignment="1">
      <alignment vertical="center"/>
    </xf>
    <xf numFmtId="0" fontId="23" fillId="0" borderId="0" xfId="52" applyNumberFormat="1" applyFont="1" applyFill="1" applyAlignment="1" applyProtection="1">
      <alignment vertical="center" wrapText="1"/>
      <protection/>
    </xf>
    <xf numFmtId="0" fontId="12" fillId="0" borderId="0" xfId="0" applyFont="1" applyAlignment="1">
      <alignment horizontal="right" vertical="center"/>
    </xf>
    <xf numFmtId="0" fontId="14" fillId="0" borderId="0" xfId="0" applyFont="1" applyAlignment="1">
      <alignment vertical="center"/>
    </xf>
    <xf numFmtId="0" fontId="11" fillId="0" borderId="0" xfId="0" applyFont="1" applyBorder="1" applyAlignment="1">
      <alignment horizontal="right" vertical="center"/>
    </xf>
    <xf numFmtId="0" fontId="6" fillId="0" borderId="0" xfId="57" applyNumberFormat="1" applyFont="1" applyFill="1" applyBorder="1" applyAlignment="1">
      <alignment horizontal="right" vertical="center"/>
      <protection/>
    </xf>
    <xf numFmtId="0" fontId="12" fillId="0" borderId="0" xfId="0" applyNumberFormat="1" applyFont="1" applyFill="1" applyAlignment="1">
      <alignment vertical="center" wrapText="1"/>
    </xf>
    <xf numFmtId="0" fontId="15" fillId="0" borderId="11" xfId="0" applyFont="1" applyBorder="1" applyAlignment="1">
      <alignment horizontal="left" vertical="center" wrapText="1"/>
    </xf>
    <xf numFmtId="0" fontId="15" fillId="0" borderId="11" xfId="0" applyFont="1" applyBorder="1" applyAlignment="1">
      <alignment horizontal="center" vertical="center" wrapText="1"/>
    </xf>
    <xf numFmtId="167" fontId="6" fillId="0" borderId="0" xfId="0" applyNumberFormat="1" applyFont="1" applyFill="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center" vertical="center"/>
    </xf>
    <xf numFmtId="167" fontId="6" fillId="0" borderId="17" xfId="0" applyNumberFormat="1" applyFont="1" applyFill="1" applyBorder="1" applyAlignment="1">
      <alignment horizontal="center" vertical="center"/>
    </xf>
    <xf numFmtId="0" fontId="6" fillId="0" borderId="18" xfId="0" applyFont="1" applyBorder="1" applyAlignment="1">
      <alignment horizontal="left" vertical="center" wrapText="1"/>
    </xf>
    <xf numFmtId="0" fontId="6" fillId="0" borderId="13" xfId="0" applyFont="1" applyBorder="1" applyAlignment="1">
      <alignment horizontal="center" vertical="center"/>
    </xf>
    <xf numFmtId="167" fontId="6" fillId="0" borderId="14" xfId="0" applyNumberFormat="1" applyFont="1" applyFill="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vertical="center"/>
    </xf>
    <xf numFmtId="0" fontId="15" fillId="0" borderId="0" xfId="0" applyFont="1" applyBorder="1" applyAlignment="1">
      <alignment horizontal="center" vertical="center" wrapText="1"/>
    </xf>
    <xf numFmtId="0" fontId="21" fillId="0" borderId="0" xfId="0" applyFont="1" applyBorder="1" applyAlignment="1">
      <alignment vertical="center"/>
    </xf>
    <xf numFmtId="0" fontId="19" fillId="0" borderId="19" xfId="0" applyFont="1" applyBorder="1" applyAlignment="1">
      <alignment vertical="center"/>
    </xf>
    <xf numFmtId="0" fontId="11" fillId="0" borderId="19" xfId="0" applyFont="1" applyBorder="1" applyAlignment="1">
      <alignment vertical="center"/>
    </xf>
    <xf numFmtId="0" fontId="12" fillId="0" borderId="16" xfId="0" applyFont="1" applyBorder="1" applyAlignment="1">
      <alignment vertical="center"/>
    </xf>
    <xf numFmtId="0" fontId="19" fillId="0" borderId="20"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vertical="center"/>
    </xf>
    <xf numFmtId="0" fontId="19" fillId="0" borderId="0" xfId="0" applyFont="1" applyBorder="1" applyAlignment="1">
      <alignment vertical="center"/>
    </xf>
    <xf numFmtId="0" fontId="11" fillId="0" borderId="0" xfId="0" applyFont="1" applyAlignment="1">
      <alignment vertical="center"/>
    </xf>
    <xf numFmtId="1" fontId="19" fillId="0" borderId="0" xfId="0" applyNumberFormat="1" applyFont="1" applyAlignment="1">
      <alignment vertical="center"/>
    </xf>
    <xf numFmtId="1" fontId="11" fillId="0" borderId="0" xfId="0" applyNumberFormat="1" applyFont="1" applyAlignment="1">
      <alignment vertical="center"/>
    </xf>
    <xf numFmtId="4" fontId="12" fillId="0" borderId="0" xfId="0" applyNumberFormat="1" applyFont="1" applyAlignment="1">
      <alignment vertical="center" wrapText="1"/>
    </xf>
    <xf numFmtId="0" fontId="17" fillId="0" borderId="0" xfId="0" applyFont="1" applyAlignment="1">
      <alignment vertical="center"/>
    </xf>
    <xf numFmtId="165" fontId="15" fillId="0" borderId="0" xfId="0" applyNumberFormat="1" applyFont="1" applyFill="1" applyBorder="1" applyAlignment="1">
      <alignment horizontal="center" vertical="center" wrapText="1"/>
    </xf>
    <xf numFmtId="165" fontId="15" fillId="0" borderId="11" xfId="0" applyNumberFormat="1" applyFont="1" applyFill="1" applyBorder="1" applyAlignment="1">
      <alignment horizontal="center" vertical="center" wrapText="1"/>
    </xf>
    <xf numFmtId="0" fontId="17" fillId="0" borderId="0" xfId="0" applyFont="1" applyAlignment="1">
      <alignment horizontal="center"/>
    </xf>
    <xf numFmtId="0" fontId="19" fillId="0" borderId="17" xfId="0" applyFont="1" applyFill="1" applyBorder="1" applyAlignment="1">
      <alignment horizontal="center" vertical="center"/>
    </xf>
    <xf numFmtId="0" fontId="33" fillId="0" borderId="0" xfId="0" applyFont="1" applyBorder="1" applyAlignment="1">
      <alignment horizontal="center" vertical="center"/>
    </xf>
    <xf numFmtId="0" fontId="19" fillId="0" borderId="14" xfId="0" applyFont="1" applyFill="1" applyBorder="1" applyAlignment="1">
      <alignment horizontal="center" vertical="center"/>
    </xf>
    <xf numFmtId="0" fontId="15" fillId="0" borderId="10" xfId="56" applyNumberFormat="1" applyFont="1" applyFill="1" applyBorder="1" applyAlignment="1">
      <alignment horizontal="center" vertical="center"/>
      <protection/>
    </xf>
    <xf numFmtId="0" fontId="11" fillId="0" borderId="17" xfId="0" applyFont="1" applyBorder="1" applyAlignment="1">
      <alignment horizontal="left" vertical="center"/>
    </xf>
    <xf numFmtId="0" fontId="13" fillId="0" borderId="0" xfId="0" applyFont="1" applyBorder="1" applyAlignment="1">
      <alignment/>
    </xf>
    <xf numFmtId="0" fontId="9" fillId="0" borderId="0" xfId="0" applyFont="1" applyBorder="1" applyAlignment="1">
      <alignment/>
    </xf>
    <xf numFmtId="0" fontId="0" fillId="0" borderId="0" xfId="0" applyFont="1" applyAlignment="1">
      <alignment vertical="center" wrapText="1"/>
    </xf>
    <xf numFmtId="0" fontId="6" fillId="0" borderId="14" xfId="0" applyFont="1" applyBorder="1" applyAlignment="1">
      <alignment horizontal="center" vertical="center"/>
    </xf>
    <xf numFmtId="0" fontId="11" fillId="0" borderId="10" xfId="0" applyFont="1" applyFill="1" applyBorder="1" applyAlignment="1">
      <alignment horizontal="center" vertical="center"/>
    </xf>
    <xf numFmtId="0" fontId="15" fillId="0" borderId="19" xfId="56" applyNumberFormat="1" applyFont="1" applyFill="1" applyBorder="1" applyAlignment="1">
      <alignment horizontal="center" vertical="center" wrapText="1"/>
      <protection/>
    </xf>
    <xf numFmtId="0" fontId="15" fillId="0" borderId="19" xfId="56" applyNumberFormat="1" applyFont="1" applyFill="1" applyBorder="1" applyAlignment="1">
      <alignment horizontal="center" vertical="center"/>
      <protection/>
    </xf>
    <xf numFmtId="0" fontId="15" fillId="0" borderId="16" xfId="56" applyNumberFormat="1" applyFont="1" applyFill="1" applyBorder="1" applyAlignment="1">
      <alignment horizontal="center" vertical="center"/>
      <protection/>
    </xf>
    <xf numFmtId="0" fontId="11" fillId="0" borderId="17" xfId="0" applyFont="1" applyBorder="1" applyAlignment="1">
      <alignment horizontal="center" vertical="center"/>
    </xf>
    <xf numFmtId="0" fontId="6" fillId="0" borderId="15" xfId="56" applyNumberFormat="1" applyFont="1" applyFill="1" applyBorder="1" applyAlignment="1">
      <alignment horizontal="center" vertical="center"/>
      <protection/>
    </xf>
    <xf numFmtId="0" fontId="6" fillId="0" borderId="19" xfId="56" applyNumberFormat="1" applyFont="1" applyFill="1" applyBorder="1" applyAlignment="1">
      <alignment horizontal="center" vertical="center"/>
      <protection/>
    </xf>
    <xf numFmtId="0" fontId="6" fillId="0" borderId="16" xfId="56" applyNumberFormat="1" applyFont="1" applyFill="1" applyBorder="1" applyAlignment="1">
      <alignment horizontal="center" vertical="center"/>
      <protection/>
    </xf>
    <xf numFmtId="0" fontId="6" fillId="0" borderId="18" xfId="56" applyNumberFormat="1" applyFont="1" applyFill="1" applyBorder="1" applyAlignment="1">
      <alignment horizontal="center" vertical="center"/>
      <protection/>
    </xf>
    <xf numFmtId="0" fontId="12" fillId="0" borderId="0"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xf>
    <xf numFmtId="0" fontId="11" fillId="0" borderId="0" xfId="0" applyFont="1" applyFill="1" applyBorder="1" applyAlignment="1">
      <alignment vertical="center"/>
    </xf>
    <xf numFmtId="0" fontId="15" fillId="0" borderId="21" xfId="56" applyNumberFormat="1" applyFont="1" applyFill="1" applyBorder="1" applyAlignment="1">
      <alignment horizontal="center" vertical="center" wrapText="1"/>
      <protection/>
    </xf>
    <xf numFmtId="0" fontId="0" fillId="0" borderId="0" xfId="0" applyFont="1" applyAlignment="1">
      <alignment/>
    </xf>
    <xf numFmtId="0" fontId="12" fillId="0" borderId="0" xfId="0" applyFont="1" applyFill="1" applyAlignment="1">
      <alignment/>
    </xf>
    <xf numFmtId="0" fontId="0" fillId="0" borderId="0" xfId="0" applyFont="1" applyFill="1" applyAlignment="1">
      <alignment/>
    </xf>
    <xf numFmtId="0" fontId="0" fillId="0" borderId="0" xfId="0" applyFill="1" applyAlignment="1">
      <alignment/>
    </xf>
    <xf numFmtId="0" fontId="4" fillId="0" borderId="0" xfId="0" applyFont="1" applyFill="1" applyAlignment="1">
      <alignment/>
    </xf>
    <xf numFmtId="0" fontId="11" fillId="0" borderId="0" xfId="0" applyFont="1" applyAlignment="1">
      <alignment horizontal="right"/>
    </xf>
    <xf numFmtId="0" fontId="11"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12" fillId="0" borderId="0" xfId="0" applyFont="1" applyFill="1" applyAlignment="1">
      <alignment/>
    </xf>
    <xf numFmtId="0" fontId="10" fillId="0" borderId="0" xfId="0" applyFont="1" applyFill="1" applyBorder="1" applyAlignment="1">
      <alignment horizontal="center" vertical="center"/>
    </xf>
    <xf numFmtId="0" fontId="12" fillId="0" borderId="0" xfId="0" applyFont="1" applyFill="1" applyAlignment="1">
      <alignment vertical="center"/>
    </xf>
    <xf numFmtId="0" fontId="34" fillId="0" borderId="0" xfId="0" applyFont="1" applyFill="1" applyBorder="1" applyAlignment="1">
      <alignment vertical="center" wrapText="1"/>
    </xf>
    <xf numFmtId="0" fontId="12" fillId="0" borderId="0" xfId="0" applyFont="1" applyBorder="1" applyAlignment="1">
      <alignment horizontal="center" vertical="center"/>
    </xf>
    <xf numFmtId="0" fontId="11" fillId="0" borderId="11" xfId="0" applyFont="1" applyBorder="1" applyAlignment="1">
      <alignment horizontal="right"/>
    </xf>
    <xf numFmtId="0" fontId="11" fillId="0" borderId="22" xfId="0" applyFont="1" applyBorder="1" applyAlignment="1">
      <alignment horizontal="right"/>
    </xf>
    <xf numFmtId="11" fontId="0" fillId="0" borderId="0" xfId="0" applyNumberFormat="1" applyAlignment="1">
      <alignment/>
    </xf>
    <xf numFmtId="0" fontId="3" fillId="0" borderId="0" xfId="52" applyAlignment="1" applyProtection="1">
      <alignment/>
      <protection/>
    </xf>
    <xf numFmtId="0" fontId="0" fillId="0" borderId="0" xfId="0" applyFont="1" applyBorder="1" applyAlignment="1">
      <alignment/>
    </xf>
    <xf numFmtId="1" fontId="13" fillId="0" borderId="0" xfId="0" applyNumberFormat="1" applyFont="1" applyBorder="1" applyAlignment="1">
      <alignment/>
    </xf>
    <xf numFmtId="1" fontId="9" fillId="0" borderId="0" xfId="0" applyNumberFormat="1" applyFont="1" applyBorder="1" applyAlignment="1">
      <alignment/>
    </xf>
    <xf numFmtId="0" fontId="11" fillId="0" borderId="11" xfId="0" applyFont="1" applyBorder="1" applyAlignment="1">
      <alignment/>
    </xf>
    <xf numFmtId="0" fontId="12" fillId="0" borderId="23" xfId="0" applyFont="1" applyBorder="1" applyAlignment="1">
      <alignment/>
    </xf>
    <xf numFmtId="0" fontId="12" fillId="0" borderId="12" xfId="0" applyFont="1" applyBorder="1" applyAlignment="1">
      <alignment/>
    </xf>
    <xf numFmtId="168" fontId="19" fillId="0" borderId="22" xfId="0" applyNumberFormat="1" applyFont="1" applyFill="1" applyBorder="1" applyAlignment="1">
      <alignment horizontal="center"/>
    </xf>
    <xf numFmtId="0" fontId="12" fillId="0" borderId="17" xfId="0" applyNumberFormat="1" applyFont="1" applyFill="1" applyBorder="1" applyAlignment="1">
      <alignment vertical="center" wrapText="1"/>
    </xf>
    <xf numFmtId="0" fontId="12" fillId="0" borderId="13" xfId="0" applyNumberFormat="1" applyFont="1" applyFill="1" applyBorder="1" applyAlignment="1">
      <alignment horizontal="right" vertical="center" wrapText="1"/>
    </xf>
    <xf numFmtId="0" fontId="12" fillId="0" borderId="14" xfId="0" applyNumberFormat="1" applyFont="1" applyFill="1" applyBorder="1" applyAlignment="1">
      <alignment vertical="center" wrapText="1"/>
    </xf>
    <xf numFmtId="0" fontId="12" fillId="0" borderId="14" xfId="0" applyFont="1" applyBorder="1" applyAlignment="1">
      <alignment vertical="center"/>
    </xf>
    <xf numFmtId="0" fontId="12" fillId="0" borderId="13" xfId="0" applyFont="1" applyBorder="1" applyAlignment="1">
      <alignment horizontal="right" vertical="center"/>
    </xf>
    <xf numFmtId="0" fontId="11" fillId="33" borderId="11" xfId="0" applyFont="1" applyFill="1" applyBorder="1" applyAlignment="1">
      <alignment horizontal="right" vertical="center"/>
    </xf>
    <xf numFmtId="0" fontId="11" fillId="33" borderId="24" xfId="0" applyFont="1" applyFill="1" applyBorder="1" applyAlignment="1">
      <alignment horizontal="right" vertical="center"/>
    </xf>
    <xf numFmtId="0" fontId="12" fillId="0" borderId="17" xfId="0" applyFont="1" applyBorder="1" applyAlignment="1">
      <alignment vertical="center"/>
    </xf>
    <xf numFmtId="0" fontId="6" fillId="0" borderId="0" xfId="0" applyFont="1" applyBorder="1" applyAlignment="1">
      <alignment horizontal="right" vertical="center"/>
    </xf>
    <xf numFmtId="0" fontId="6" fillId="0" borderId="13" xfId="0" applyFont="1" applyBorder="1" applyAlignment="1">
      <alignment horizontal="right" vertical="center"/>
    </xf>
    <xf numFmtId="0" fontId="11" fillId="0" borderId="17" xfId="0" applyFont="1" applyBorder="1" applyAlignment="1">
      <alignment horizontal="right" vertical="center"/>
    </xf>
    <xf numFmtId="1" fontId="15" fillId="0" borderId="19" xfId="0" applyNumberFormat="1" applyFont="1" applyFill="1" applyBorder="1" applyAlignment="1">
      <alignment vertical="center" wrapText="1"/>
    </xf>
    <xf numFmtId="0" fontId="11" fillId="0" borderId="16" xfId="0" applyNumberFormat="1" applyFont="1" applyFill="1" applyBorder="1" applyAlignment="1">
      <alignment horizontal="right" vertical="center" wrapText="1"/>
    </xf>
    <xf numFmtId="0" fontId="11" fillId="0" borderId="22" xfId="0" applyFont="1" applyBorder="1" applyAlignment="1">
      <alignment horizontal="right" vertical="center"/>
    </xf>
    <xf numFmtId="1" fontId="15" fillId="0" borderId="20" xfId="0" applyNumberFormat="1" applyFont="1" applyBorder="1" applyAlignment="1">
      <alignment vertical="center"/>
    </xf>
    <xf numFmtId="0" fontId="11" fillId="0" borderId="12" xfId="0" applyFont="1" applyBorder="1" applyAlignment="1">
      <alignment horizontal="right" vertical="center"/>
    </xf>
    <xf numFmtId="1" fontId="15" fillId="0" borderId="0" xfId="0" applyNumberFormat="1" applyFont="1" applyBorder="1" applyAlignment="1">
      <alignment vertical="center"/>
    </xf>
    <xf numFmtId="0" fontId="6" fillId="0" borderId="13" xfId="57" applyNumberFormat="1" applyFont="1" applyFill="1" applyBorder="1" applyAlignment="1">
      <alignment horizontal="right" vertical="center"/>
      <protection/>
    </xf>
    <xf numFmtId="0" fontId="11" fillId="33" borderId="11" xfId="0" applyFont="1" applyFill="1" applyBorder="1" applyAlignment="1">
      <alignment vertical="center"/>
    </xf>
    <xf numFmtId="0" fontId="15" fillId="33" borderId="18" xfId="0" applyFont="1" applyFill="1" applyBorder="1" applyAlignment="1">
      <alignment horizontal="left" vertical="center"/>
    </xf>
    <xf numFmtId="0" fontId="15" fillId="33" borderId="0" xfId="0" applyFont="1" applyFill="1" applyBorder="1" applyAlignment="1">
      <alignment horizontal="left" vertical="center"/>
    </xf>
    <xf numFmtId="0" fontId="6" fillId="33" borderId="16" xfId="0" applyFont="1" applyFill="1" applyBorder="1" applyAlignment="1">
      <alignment vertical="center"/>
    </xf>
    <xf numFmtId="0" fontId="15"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39" fillId="33" borderId="0" xfId="0" applyFont="1" applyFill="1" applyBorder="1" applyAlignment="1">
      <alignment vertical="center"/>
    </xf>
    <xf numFmtId="0" fontId="39" fillId="33" borderId="13" xfId="0" applyFont="1" applyFill="1" applyBorder="1" applyAlignment="1">
      <alignment vertical="center"/>
    </xf>
    <xf numFmtId="0" fontId="15" fillId="33" borderId="0" xfId="0" applyFont="1" applyFill="1" applyBorder="1" applyAlignment="1">
      <alignment vertical="center"/>
    </xf>
    <xf numFmtId="0" fontId="40" fillId="33" borderId="12" xfId="0" applyFont="1" applyFill="1" applyBorder="1" applyAlignment="1">
      <alignment vertical="center"/>
    </xf>
    <xf numFmtId="0" fontId="6" fillId="33" borderId="0" xfId="0" applyFont="1" applyFill="1" applyBorder="1" applyAlignment="1">
      <alignment vertical="center"/>
    </xf>
    <xf numFmtId="0" fontId="6" fillId="33" borderId="13" xfId="0" applyFont="1" applyFill="1" applyBorder="1" applyAlignment="1">
      <alignment horizontal="center" vertical="center"/>
    </xf>
    <xf numFmtId="0" fontId="15" fillId="0" borderId="14" xfId="0" applyFont="1" applyBorder="1" applyAlignment="1">
      <alignment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15" fillId="0" borderId="22" xfId="0" applyFont="1" applyBorder="1" applyAlignment="1">
      <alignment vertical="center"/>
    </xf>
    <xf numFmtId="0" fontId="6" fillId="0" borderId="22" xfId="0" applyFont="1" applyBorder="1" applyAlignment="1">
      <alignment horizontal="center" vertical="center"/>
    </xf>
    <xf numFmtId="0" fontId="15" fillId="33" borderId="23"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12" xfId="0" applyFont="1" applyFill="1" applyBorder="1" applyAlignment="1">
      <alignment horizontal="center" vertical="center"/>
    </xf>
    <xf numFmtId="167" fontId="6" fillId="0" borderId="22" xfId="0" applyNumberFormat="1" applyFont="1" applyFill="1" applyBorder="1" applyAlignment="1">
      <alignment horizontal="center" vertical="center"/>
    </xf>
    <xf numFmtId="0" fontId="15" fillId="33" borderId="11" xfId="0" applyFont="1" applyFill="1" applyBorder="1" applyAlignment="1">
      <alignment horizontal="right"/>
    </xf>
    <xf numFmtId="1" fontId="15" fillId="33" borderId="10" xfId="0" applyNumberFormat="1" applyFont="1" applyFill="1" applyBorder="1" applyAlignment="1">
      <alignment/>
    </xf>
    <xf numFmtId="0" fontId="6" fillId="0" borderId="0" xfId="57" applyNumberFormat="1" applyFont="1" applyFill="1" applyBorder="1" applyAlignment="1">
      <alignment horizontal="left" vertical="center"/>
      <protection/>
    </xf>
    <xf numFmtId="1" fontId="6" fillId="0" borderId="0" xfId="57" applyNumberFormat="1" applyFont="1" applyFill="1" applyBorder="1" applyAlignment="1">
      <alignment horizontal="right" vertical="center"/>
      <protection/>
    </xf>
    <xf numFmtId="0" fontId="6" fillId="0" borderId="0" xfId="57" applyFont="1" applyAlignment="1">
      <alignment vertical="center"/>
      <protection/>
    </xf>
    <xf numFmtId="0" fontId="35" fillId="0" borderId="0" xfId="57" applyFont="1" applyAlignment="1">
      <alignment vertical="center"/>
      <protection/>
    </xf>
    <xf numFmtId="0" fontId="15" fillId="33" borderId="0" xfId="0" applyNumberFormat="1" applyFont="1" applyFill="1" applyBorder="1" applyAlignment="1">
      <alignment horizontal="left" vertical="center" wrapText="1"/>
    </xf>
    <xf numFmtId="9" fontId="6" fillId="33" borderId="0" xfId="57" applyNumberFormat="1" applyFont="1" applyFill="1" applyAlignment="1">
      <alignment horizontal="right" vertical="center"/>
      <protection/>
    </xf>
    <xf numFmtId="0" fontId="6" fillId="33" borderId="0" xfId="57" applyNumberFormat="1" applyFont="1" applyFill="1" applyAlignment="1">
      <alignment horizontal="left" vertical="center"/>
      <protection/>
    </xf>
    <xf numFmtId="0" fontId="28" fillId="0" borderId="13" xfId="57" applyFont="1" applyBorder="1" applyAlignment="1">
      <alignment vertical="center"/>
      <protection/>
    </xf>
    <xf numFmtId="0" fontId="6" fillId="33" borderId="0" xfId="0" applyNumberFormat="1" applyFont="1" applyFill="1" applyBorder="1" applyAlignment="1">
      <alignment horizontal="left" vertical="center" wrapText="1"/>
    </xf>
    <xf numFmtId="9" fontId="15" fillId="33" borderId="0" xfId="57" applyNumberFormat="1" applyFont="1" applyFill="1" applyAlignment="1">
      <alignment horizontal="right" vertical="center"/>
      <protection/>
    </xf>
    <xf numFmtId="1" fontId="15" fillId="0" borderId="0" xfId="57" applyNumberFormat="1" applyFont="1" applyFill="1" applyBorder="1" applyAlignment="1">
      <alignment horizontal="right" vertical="center"/>
      <protection/>
    </xf>
    <xf numFmtId="0" fontId="15" fillId="0" borderId="13" xfId="57" applyNumberFormat="1" applyFont="1" applyFill="1" applyBorder="1" applyAlignment="1">
      <alignment vertical="center"/>
      <protection/>
    </xf>
    <xf numFmtId="0" fontId="6" fillId="0" borderId="0" xfId="57" applyNumberFormat="1" applyFont="1" applyFill="1" applyAlignment="1">
      <alignment horizontal="left" vertical="center"/>
      <protection/>
    </xf>
    <xf numFmtId="166" fontId="89" fillId="0" borderId="0" xfId="46" applyNumberFormat="1" applyFill="1" applyAlignment="1">
      <alignment horizontal="right" vertical="center"/>
    </xf>
    <xf numFmtId="0" fontId="89" fillId="0" borderId="0" xfId="46" applyNumberFormat="1" applyFill="1" applyAlignment="1">
      <alignment horizontal="left" vertical="center"/>
    </xf>
    <xf numFmtId="0" fontId="89" fillId="0" borderId="0" xfId="46" applyAlignment="1">
      <alignment vertical="center"/>
    </xf>
    <xf numFmtId="0" fontId="15" fillId="0" borderId="18" xfId="57" applyNumberFormat="1" applyFont="1" applyFill="1" applyBorder="1" applyAlignment="1">
      <alignment horizontal="left" vertical="center"/>
      <protection/>
    </xf>
    <xf numFmtId="0" fontId="15" fillId="0" borderId="0" xfId="57" applyNumberFormat="1" applyFont="1" applyFill="1" applyBorder="1" applyAlignment="1">
      <alignment horizontal="left" vertical="center"/>
      <protection/>
    </xf>
    <xf numFmtId="0" fontId="6" fillId="0" borderId="18" xfId="57" applyNumberFormat="1" applyFont="1" applyFill="1" applyBorder="1" applyAlignment="1">
      <alignment horizontal="left" vertical="center"/>
      <protection/>
    </xf>
    <xf numFmtId="9" fontId="6" fillId="0" borderId="0" xfId="57" applyNumberFormat="1" applyFont="1" applyFill="1" applyBorder="1" applyAlignment="1">
      <alignment horizontal="right" vertical="center"/>
      <protection/>
    </xf>
    <xf numFmtId="164" fontId="6" fillId="0" borderId="0" xfId="57" applyNumberFormat="1" applyFont="1" applyFill="1" applyBorder="1" applyAlignment="1">
      <alignment horizontal="right" vertical="center"/>
      <protection/>
    </xf>
    <xf numFmtId="164" fontId="6" fillId="0" borderId="13" xfId="57" applyNumberFormat="1" applyFont="1" applyFill="1" applyBorder="1" applyAlignment="1">
      <alignment horizontal="right" vertical="center"/>
      <protection/>
    </xf>
    <xf numFmtId="9" fontId="15" fillId="0" borderId="0" xfId="57" applyNumberFormat="1" applyFont="1" applyBorder="1" applyAlignment="1">
      <alignment vertical="center"/>
      <protection/>
    </xf>
    <xf numFmtId="164" fontId="15" fillId="0" borderId="0" xfId="57" applyNumberFormat="1" applyFont="1" applyFill="1" applyBorder="1" applyAlignment="1">
      <alignment horizontal="right" vertical="center"/>
      <protection/>
    </xf>
    <xf numFmtId="0" fontId="15" fillId="0" borderId="13" xfId="57" applyNumberFormat="1" applyFont="1" applyFill="1" applyBorder="1" applyAlignment="1">
      <alignment horizontal="right" vertical="center"/>
      <protection/>
    </xf>
    <xf numFmtId="0" fontId="15" fillId="0" borderId="0" xfId="57" applyNumberFormat="1" applyFont="1" applyFill="1" applyBorder="1" applyAlignment="1">
      <alignment horizontal="right" vertical="center"/>
      <protection/>
    </xf>
    <xf numFmtId="0" fontId="6" fillId="0" borderId="13" xfId="57" applyFont="1" applyBorder="1" applyAlignment="1">
      <alignment vertical="center"/>
      <protection/>
    </xf>
    <xf numFmtId="164" fontId="15" fillId="0" borderId="0" xfId="57" applyNumberFormat="1" applyFont="1" applyFill="1" applyAlignment="1">
      <alignment horizontal="right" vertical="center"/>
      <protection/>
    </xf>
    <xf numFmtId="0" fontId="6" fillId="0" borderId="23" xfId="0" applyNumberFormat="1" applyFont="1" applyFill="1" applyBorder="1" applyAlignment="1">
      <alignment horizontal="left" vertical="center" wrapText="1"/>
    </xf>
    <xf numFmtId="0" fontId="35" fillId="0" borderId="20" xfId="57" applyFont="1" applyBorder="1" applyAlignment="1">
      <alignment vertical="center"/>
      <protection/>
    </xf>
    <xf numFmtId="0" fontId="6" fillId="0" borderId="20" xfId="0" applyNumberFormat="1" applyFont="1" applyFill="1" applyBorder="1" applyAlignment="1">
      <alignment horizontal="right" vertical="center"/>
    </xf>
    <xf numFmtId="0" fontId="6" fillId="0" borderId="12" xfId="57" applyNumberFormat="1" applyFont="1" applyFill="1" applyBorder="1" applyAlignment="1">
      <alignment horizontal="right" vertical="center"/>
      <protection/>
    </xf>
    <xf numFmtId="0" fontId="6" fillId="0" borderId="0" xfId="0" applyNumberFormat="1" applyFont="1" applyFill="1" applyBorder="1" applyAlignment="1">
      <alignment horizontal="left" vertical="center" wrapText="1"/>
    </xf>
    <xf numFmtId="0" fontId="6" fillId="0" borderId="0" xfId="57" applyNumberFormat="1" applyFont="1" applyFill="1" applyAlignment="1">
      <alignment horizontal="right" vertical="center"/>
      <protection/>
    </xf>
    <xf numFmtId="0" fontId="6" fillId="0" borderId="0" xfId="0" applyNumberFormat="1" applyFont="1" applyFill="1" applyBorder="1" applyAlignment="1">
      <alignment horizontal="center" vertical="center"/>
    </xf>
    <xf numFmtId="1" fontId="15" fillId="33" borderId="0" xfId="57" applyNumberFormat="1" applyFont="1" applyFill="1" applyBorder="1" applyAlignment="1">
      <alignment horizontal="center" vertical="center"/>
      <protection/>
    </xf>
    <xf numFmtId="0" fontId="15" fillId="33" borderId="0" xfId="57" applyFont="1" applyFill="1" applyBorder="1" applyAlignment="1">
      <alignment vertical="center"/>
      <protection/>
    </xf>
    <xf numFmtId="0" fontId="89" fillId="0" borderId="0" xfId="46" applyNumberFormat="1" applyFill="1" applyBorder="1" applyAlignment="1">
      <alignment horizontal="left" vertical="center"/>
    </xf>
    <xf numFmtId="0" fontId="39" fillId="0" borderId="0" xfId="0" applyFont="1" applyAlignment="1">
      <alignment vertical="center"/>
    </xf>
    <xf numFmtId="0" fontId="6" fillId="0" borderId="17" xfId="57" applyNumberFormat="1" applyFont="1" applyFill="1" applyBorder="1" applyAlignment="1">
      <alignment horizontal="left" vertical="center"/>
      <protection/>
    </xf>
    <xf numFmtId="0" fontId="6" fillId="0" borderId="13" xfId="57" applyNumberFormat="1" applyFont="1" applyFill="1" applyBorder="1" applyAlignment="1">
      <alignment horizontal="center" vertical="center"/>
      <protection/>
    </xf>
    <xf numFmtId="0" fontId="6" fillId="0" borderId="14" xfId="57" applyNumberFormat="1" applyFont="1" applyFill="1" applyBorder="1" applyAlignment="1">
      <alignment horizontal="left" vertical="center"/>
      <protection/>
    </xf>
    <xf numFmtId="0" fontId="15" fillId="33" borderId="22" xfId="57" applyNumberFormat="1" applyFont="1" applyFill="1" applyBorder="1" applyAlignment="1">
      <alignment horizontal="left" vertical="center"/>
      <protection/>
    </xf>
    <xf numFmtId="1" fontId="15" fillId="33" borderId="20" xfId="57" applyNumberFormat="1" applyFont="1" applyFill="1" applyBorder="1" applyAlignment="1">
      <alignment horizontal="right" vertical="center"/>
      <protection/>
    </xf>
    <xf numFmtId="0" fontId="15" fillId="33" borderId="12" xfId="57" applyNumberFormat="1" applyFont="1" applyFill="1" applyBorder="1" applyAlignment="1">
      <alignment horizontal="center" vertical="center"/>
      <protection/>
    </xf>
    <xf numFmtId="0" fontId="42" fillId="0" borderId="0" xfId="57" applyFont="1">
      <alignment vertical="center"/>
      <protection/>
    </xf>
    <xf numFmtId="0" fontId="6" fillId="0" borderId="0" xfId="57" applyFont="1">
      <alignment vertical="center"/>
      <protection/>
    </xf>
    <xf numFmtId="0" fontId="6" fillId="0" borderId="0" xfId="57" applyNumberFormat="1" applyFont="1" applyFill="1" applyBorder="1" applyAlignment="1">
      <alignment horizontal="left"/>
      <protection/>
    </xf>
    <xf numFmtId="1" fontId="6" fillId="0" borderId="0" xfId="0" applyNumberFormat="1" applyFont="1" applyBorder="1" applyAlignment="1">
      <alignment vertical="center"/>
    </xf>
    <xf numFmtId="0" fontId="6" fillId="0" borderId="0" xfId="0" applyFont="1" applyAlignment="1">
      <alignment vertical="center"/>
    </xf>
    <xf numFmtId="0" fontId="6" fillId="0" borderId="14" xfId="0" applyFont="1" applyBorder="1" applyAlignment="1">
      <alignment vertical="center"/>
    </xf>
    <xf numFmtId="0" fontId="15" fillId="33" borderId="11" xfId="0" applyFont="1" applyFill="1" applyBorder="1" applyAlignment="1">
      <alignment horizontal="right" vertical="center"/>
    </xf>
    <xf numFmtId="1" fontId="15" fillId="33" borderId="10" xfId="0" applyNumberFormat="1" applyFont="1" applyFill="1" applyBorder="1" applyAlignment="1">
      <alignment vertical="center"/>
    </xf>
    <xf numFmtId="0" fontId="15" fillId="33" borderId="24" xfId="0" applyFont="1" applyFill="1" applyBorder="1" applyAlignment="1">
      <alignment horizontal="right" vertical="center"/>
    </xf>
    <xf numFmtId="0" fontId="28" fillId="34" borderId="21" xfId="0" applyFont="1" applyFill="1" applyBorder="1" applyAlignment="1">
      <alignment horizontal="center" vertical="center" wrapText="1"/>
    </xf>
    <xf numFmtId="0" fontId="6" fillId="0" borderId="23" xfId="0" applyFont="1" applyBorder="1" applyAlignment="1">
      <alignment horizontal="left" vertical="center" wrapText="1"/>
    </xf>
    <xf numFmtId="0" fontId="19" fillId="0" borderId="22" xfId="0" applyFont="1" applyFill="1" applyBorder="1" applyAlignment="1">
      <alignment horizontal="center" vertical="center"/>
    </xf>
    <xf numFmtId="0" fontId="6" fillId="0" borderId="12" xfId="0" applyFont="1" applyBorder="1" applyAlignment="1">
      <alignment horizontal="center" vertical="center"/>
    </xf>
    <xf numFmtId="0" fontId="35" fillId="0" borderId="0" xfId="0" applyFont="1" applyFill="1" applyBorder="1" applyAlignment="1">
      <alignment horizontal="center" vertical="center"/>
    </xf>
    <xf numFmtId="0" fontId="17" fillId="0" borderId="0" xfId="0" applyFont="1" applyFill="1" applyAlignment="1">
      <alignment horizontal="center" vertical="center"/>
    </xf>
    <xf numFmtId="0" fontId="15" fillId="33" borderId="22" xfId="0" applyFont="1" applyFill="1" applyBorder="1" applyAlignment="1">
      <alignment horizontal="right" vertical="center" wrapText="1"/>
    </xf>
    <xf numFmtId="3" fontId="15" fillId="33" borderId="20" xfId="0" applyNumberFormat="1" applyFont="1" applyFill="1" applyBorder="1" applyAlignment="1">
      <alignment vertical="center" wrapText="1"/>
    </xf>
    <xf numFmtId="0" fontId="15" fillId="33" borderId="12" xfId="0" applyFont="1" applyFill="1" applyBorder="1" applyAlignment="1">
      <alignment horizontal="right" vertical="center" wrapText="1"/>
    </xf>
    <xf numFmtId="0" fontId="0" fillId="0" borderId="0" xfId="0" applyFill="1" applyBorder="1" applyAlignment="1">
      <alignment/>
    </xf>
    <xf numFmtId="0" fontId="15" fillId="0" borderId="17" xfId="0" applyFont="1" applyBorder="1" applyAlignment="1">
      <alignment vertical="center" wrapText="1"/>
    </xf>
    <xf numFmtId="0" fontId="15" fillId="0" borderId="17"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17" xfId="0" applyFont="1" applyBorder="1" applyAlignment="1">
      <alignment vertical="center"/>
    </xf>
    <xf numFmtId="0" fontId="4" fillId="0" borderId="0" xfId="0" applyFont="1" applyFill="1" applyAlignment="1">
      <alignment vertical="center"/>
    </xf>
    <xf numFmtId="0" fontId="12" fillId="0" borderId="0" xfId="0" applyFont="1" applyFill="1" applyAlignment="1">
      <alignment vertical="center" wrapText="1"/>
    </xf>
    <xf numFmtId="0" fontId="11" fillId="0" borderId="0" xfId="46" applyFont="1" applyFill="1" applyBorder="1" applyAlignment="1">
      <alignment horizontal="center" wrapText="1"/>
    </xf>
    <xf numFmtId="0" fontId="12" fillId="0" borderId="0" xfId="0" applyFont="1" applyFill="1" applyAlignment="1">
      <alignment wrapText="1"/>
    </xf>
    <xf numFmtId="0" fontId="4" fillId="0" borderId="0" xfId="0" applyFont="1" applyFill="1" applyAlignment="1">
      <alignment/>
    </xf>
    <xf numFmtId="0" fontId="19" fillId="0" borderId="0" xfId="0" applyFont="1" applyAlignment="1">
      <alignment/>
    </xf>
    <xf numFmtId="0" fontId="13" fillId="0" borderId="0" xfId="0" applyFont="1" applyAlignment="1">
      <alignment/>
    </xf>
    <xf numFmtId="0" fontId="12" fillId="0" borderId="14" xfId="0" applyFont="1" applyFill="1" applyBorder="1" applyAlignment="1">
      <alignment horizontal="center" vertical="center"/>
    </xf>
    <xf numFmtId="167" fontId="12" fillId="0" borderId="0" xfId="0" applyNumberFormat="1" applyFont="1" applyFill="1" applyBorder="1" applyAlignment="1">
      <alignment vertical="center"/>
    </xf>
    <xf numFmtId="0" fontId="0" fillId="0" borderId="13" xfId="0" applyFont="1" applyFill="1" applyBorder="1" applyAlignment="1">
      <alignment horizontal="right" vertical="center"/>
    </xf>
    <xf numFmtId="2" fontId="19" fillId="0" borderId="14" xfId="0" applyNumberFormat="1" applyFont="1" applyFill="1" applyBorder="1" applyAlignment="1">
      <alignment vertical="center"/>
    </xf>
    <xf numFmtId="0" fontId="12" fillId="0" borderId="16" xfId="0" applyFont="1" applyFill="1" applyBorder="1" applyAlignment="1">
      <alignment horizontal="right" vertical="center"/>
    </xf>
    <xf numFmtId="0" fontId="6" fillId="0" borderId="14" xfId="56" applyNumberFormat="1" applyFont="1" applyFill="1" applyBorder="1" applyAlignment="1">
      <alignment horizontal="center" vertical="center"/>
      <protection/>
    </xf>
    <xf numFmtId="0" fontId="0" fillId="0" borderId="13" xfId="0" applyFont="1" applyFill="1" applyBorder="1" applyAlignment="1">
      <alignment horizontal="right" vertical="center"/>
    </xf>
    <xf numFmtId="0" fontId="12" fillId="0" borderId="13" xfId="0" applyFont="1" applyFill="1" applyBorder="1" applyAlignment="1">
      <alignment horizontal="right" vertical="center"/>
    </xf>
    <xf numFmtId="2" fontId="12" fillId="0" borderId="0" xfId="0" applyNumberFormat="1" applyFont="1" applyFill="1" applyAlignment="1">
      <alignment/>
    </xf>
    <xf numFmtId="0" fontId="12" fillId="0" borderId="0" xfId="0" applyFont="1" applyFill="1" applyBorder="1" applyAlignment="1">
      <alignment vertical="center"/>
    </xf>
    <xf numFmtId="0" fontId="12" fillId="0" borderId="13" xfId="0" applyFont="1" applyFill="1" applyBorder="1" applyAlignment="1">
      <alignment horizontal="right" vertical="center"/>
    </xf>
    <xf numFmtId="0" fontId="12" fillId="0" borderId="22" xfId="0" applyFont="1" applyFill="1" applyBorder="1" applyAlignment="1">
      <alignment horizontal="center" vertical="center" wrapText="1"/>
    </xf>
    <xf numFmtId="0" fontId="12" fillId="0" borderId="20" xfId="0" applyFont="1" applyFill="1" applyBorder="1" applyAlignment="1">
      <alignment vertical="center"/>
    </xf>
    <xf numFmtId="0" fontId="12" fillId="0" borderId="12" xfId="0" applyFont="1" applyFill="1" applyBorder="1" applyAlignment="1">
      <alignment horizontal="right" vertical="center"/>
    </xf>
    <xf numFmtId="2" fontId="19" fillId="0" borderId="22" xfId="0" applyNumberFormat="1" applyFont="1" applyFill="1" applyBorder="1" applyAlignment="1">
      <alignment vertical="center"/>
    </xf>
    <xf numFmtId="0" fontId="12" fillId="0" borderId="12" xfId="0" applyFont="1" applyFill="1" applyBorder="1" applyAlignment="1">
      <alignment horizontal="right" vertical="center"/>
    </xf>
    <xf numFmtId="0" fontId="7" fillId="0" borderId="18" xfId="0" applyFont="1" applyFill="1" applyBorder="1" applyAlignment="1">
      <alignment vertical="center"/>
    </xf>
    <xf numFmtId="0" fontId="12" fillId="0" borderId="0" xfId="0" applyFont="1" applyFill="1" applyBorder="1" applyAlignment="1">
      <alignment/>
    </xf>
    <xf numFmtId="0" fontId="12" fillId="0" borderId="11" xfId="0" applyFont="1" applyFill="1" applyBorder="1" applyAlignment="1">
      <alignment/>
    </xf>
    <xf numFmtId="0" fontId="11" fillId="0" borderId="11" xfId="0" applyFont="1" applyFill="1" applyBorder="1" applyAlignment="1">
      <alignment vertical="center"/>
    </xf>
    <xf numFmtId="0" fontId="11" fillId="0" borderId="24" xfId="0" applyFont="1" applyFill="1" applyBorder="1" applyAlignment="1">
      <alignment horizontal="center" vertical="center"/>
    </xf>
    <xf numFmtId="166" fontId="12" fillId="0" borderId="0" xfId="0" applyNumberFormat="1" applyFont="1" applyFill="1" applyBorder="1" applyAlignment="1">
      <alignment horizontal="center" vertical="center"/>
    </xf>
    <xf numFmtId="166" fontId="12" fillId="0" borderId="13" xfId="0" applyNumberFormat="1" applyFont="1" applyFill="1" applyBorder="1" applyAlignment="1">
      <alignment horizontal="center" vertical="center"/>
    </xf>
    <xf numFmtId="0" fontId="11" fillId="0" borderId="14" xfId="0" applyFont="1" applyFill="1" applyBorder="1" applyAlignment="1">
      <alignment horizontal="left" vertical="center"/>
    </xf>
    <xf numFmtId="0" fontId="12" fillId="0" borderId="0" xfId="46" applyNumberFormat="1" applyFont="1" applyFill="1" applyBorder="1" applyAlignment="1">
      <alignment vertical="center"/>
    </xf>
    <xf numFmtId="166" fontId="12" fillId="0" borderId="19" xfId="0" applyNumberFormat="1" applyFont="1" applyFill="1" applyBorder="1" applyAlignment="1">
      <alignment horizontal="center" vertical="center"/>
    </xf>
    <xf numFmtId="166" fontId="12" fillId="0" borderId="16" xfId="0" applyNumberFormat="1" applyFont="1" applyFill="1" applyBorder="1" applyAlignment="1">
      <alignment horizontal="center" vertical="center"/>
    </xf>
    <xf numFmtId="166" fontId="12" fillId="0" borderId="20" xfId="0" applyNumberFormat="1" applyFont="1" applyFill="1" applyBorder="1" applyAlignment="1">
      <alignment horizontal="center" vertical="center"/>
    </xf>
    <xf numFmtId="166" fontId="12" fillId="0" borderId="12"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2" xfId="0" applyFont="1" applyFill="1" applyBorder="1" applyAlignment="1">
      <alignment horizontal="left" vertical="center"/>
    </xf>
    <xf numFmtId="0" fontId="12" fillId="0" borderId="0" xfId="46" applyNumberFormat="1" applyFont="1" applyFill="1" applyBorder="1" applyAlignment="1">
      <alignment horizontal="center" vertical="center"/>
    </xf>
    <xf numFmtId="0" fontId="15" fillId="0" borderId="18" xfId="56" applyNumberFormat="1" applyFont="1" applyFill="1" applyBorder="1" applyAlignment="1">
      <alignment horizontal="center" vertical="center"/>
      <protection/>
    </xf>
    <xf numFmtId="0" fontId="15" fillId="0" borderId="15" xfId="56" applyNumberFormat="1" applyFont="1" applyFill="1" applyBorder="1" applyAlignment="1">
      <alignment horizontal="left" vertical="center"/>
      <protection/>
    </xf>
    <xf numFmtId="0" fontId="15" fillId="0" borderId="18" xfId="56" applyNumberFormat="1" applyFont="1" applyFill="1" applyBorder="1" applyAlignment="1">
      <alignment horizontal="left" vertical="center"/>
      <protection/>
    </xf>
    <xf numFmtId="0" fontId="11" fillId="0" borderId="18" xfId="0" applyFont="1" applyFill="1" applyBorder="1" applyAlignment="1">
      <alignment horizontal="left"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23" xfId="0" applyFont="1" applyFill="1" applyBorder="1" applyAlignment="1">
      <alignment vertical="center"/>
    </xf>
    <xf numFmtId="0" fontId="12" fillId="0" borderId="23" xfId="0" applyFont="1" applyFill="1" applyBorder="1" applyAlignment="1">
      <alignment horizontal="center" vertical="center"/>
    </xf>
    <xf numFmtId="0" fontId="12" fillId="0" borderId="20" xfId="0" applyFont="1" applyFill="1" applyBorder="1" applyAlignment="1">
      <alignment horizontal="center" vertical="center"/>
    </xf>
    <xf numFmtId="0" fontId="11" fillId="0" borderId="18" xfId="0" applyFont="1" applyFill="1" applyBorder="1" applyAlignment="1">
      <alignment vertical="center"/>
    </xf>
    <xf numFmtId="0" fontId="15" fillId="0" borderId="10" xfId="56" applyNumberFormat="1" applyFont="1" applyFill="1" applyBorder="1" applyAlignment="1">
      <alignment horizontal="center" vertical="center"/>
      <protection/>
    </xf>
    <xf numFmtId="3" fontId="19" fillId="0" borderId="10" xfId="0" applyNumberFormat="1" applyFont="1" applyFill="1" applyBorder="1" applyAlignment="1">
      <alignment wrapText="1"/>
    </xf>
    <xf numFmtId="0" fontId="15" fillId="0" borderId="21" xfId="0" applyFont="1" applyBorder="1" applyAlignment="1">
      <alignment horizontal="left" wrapText="1"/>
    </xf>
    <xf numFmtId="0" fontId="12" fillId="0" borderId="24" xfId="0" applyFont="1" applyBorder="1" applyAlignment="1">
      <alignment wrapText="1"/>
    </xf>
    <xf numFmtId="0" fontId="15" fillId="0" borderId="21" xfId="0" applyFont="1" applyFill="1" applyBorder="1" applyAlignment="1">
      <alignment horizontal="left" wrapText="1"/>
    </xf>
    <xf numFmtId="0" fontId="4" fillId="0" borderId="17" xfId="0" applyFont="1" applyFill="1" applyBorder="1" applyAlignment="1">
      <alignment/>
    </xf>
    <xf numFmtId="0" fontId="11" fillId="0" borderId="10" xfId="0" applyFont="1" applyFill="1" applyBorder="1" applyAlignment="1">
      <alignment horizontal="center" vertical="center"/>
    </xf>
    <xf numFmtId="0" fontId="11" fillId="0" borderId="24" xfId="0" applyFont="1" applyFill="1" applyBorder="1" applyAlignment="1">
      <alignment horizontal="center" vertical="center"/>
    </xf>
    <xf numFmtId="0" fontId="4" fillId="0" borderId="10" xfId="0" applyFont="1" applyFill="1" applyBorder="1" applyAlignment="1">
      <alignment horizontal="center"/>
    </xf>
    <xf numFmtId="0" fontId="4" fillId="0" borderId="24" xfId="0" applyFont="1" applyFill="1" applyBorder="1" applyAlignment="1">
      <alignment horizontal="center"/>
    </xf>
    <xf numFmtId="0" fontId="4" fillId="0" borderId="11" xfId="0" applyFont="1" applyFill="1" applyBorder="1" applyAlignment="1">
      <alignment/>
    </xf>
    <xf numFmtId="0" fontId="44" fillId="0" borderId="0" xfId="0" applyFont="1" applyFill="1" applyAlignment="1">
      <alignment/>
    </xf>
    <xf numFmtId="2" fontId="4" fillId="0" borderId="19" xfId="0" applyNumberFormat="1" applyFont="1" applyFill="1" applyBorder="1" applyAlignment="1">
      <alignment/>
    </xf>
    <xf numFmtId="2" fontId="4" fillId="0" borderId="16" xfId="0" applyNumberFormat="1" applyFont="1" applyFill="1" applyBorder="1" applyAlignment="1">
      <alignment/>
    </xf>
    <xf numFmtId="2" fontId="4" fillId="0" borderId="0" xfId="0" applyNumberFormat="1" applyFont="1" applyFill="1" applyBorder="1" applyAlignment="1">
      <alignment/>
    </xf>
    <xf numFmtId="2" fontId="4" fillId="0" borderId="13" xfId="0" applyNumberFormat="1" applyFont="1" applyFill="1" applyBorder="1" applyAlignment="1">
      <alignment/>
    </xf>
    <xf numFmtId="0" fontId="4" fillId="0" borderId="14" xfId="0" applyFont="1" applyFill="1" applyBorder="1" applyAlignment="1">
      <alignment/>
    </xf>
    <xf numFmtId="0" fontId="15" fillId="0" borderId="17" xfId="0" applyFont="1" applyFill="1" applyBorder="1" applyAlignment="1">
      <alignment horizontal="left" wrapText="1"/>
    </xf>
    <xf numFmtId="0" fontId="15" fillId="0" borderId="14" xfId="0" applyFont="1" applyFill="1" applyBorder="1" applyAlignment="1">
      <alignment horizontal="left" wrapText="1"/>
    </xf>
    <xf numFmtId="2" fontId="15" fillId="33" borderId="10" xfId="0" applyNumberFormat="1" applyFont="1" applyFill="1" applyBorder="1" applyAlignment="1">
      <alignment vertical="center"/>
    </xf>
    <xf numFmtId="0" fontId="12" fillId="0" borderId="24" xfId="0" applyFont="1" applyBorder="1" applyAlignment="1">
      <alignment wrapText="1"/>
    </xf>
    <xf numFmtId="3" fontId="4" fillId="0" borderId="0" xfId="0" applyNumberFormat="1" applyFont="1" applyAlignment="1">
      <alignment/>
    </xf>
    <xf numFmtId="0" fontId="15" fillId="0" borderId="15" xfId="0" applyFont="1" applyFill="1" applyBorder="1" applyAlignment="1">
      <alignment horizontal="left" wrapText="1"/>
    </xf>
    <xf numFmtId="3" fontId="19" fillId="0" borderId="19" xfId="0" applyNumberFormat="1" applyFont="1" applyFill="1" applyBorder="1" applyAlignment="1">
      <alignment wrapText="1"/>
    </xf>
    <xf numFmtId="0" fontId="12" fillId="0" borderId="16" xfId="0" applyFont="1" applyBorder="1" applyAlignment="1">
      <alignment wrapText="1"/>
    </xf>
    <xf numFmtId="0" fontId="15" fillId="0" borderId="25" xfId="0" applyFont="1" applyFill="1" applyBorder="1" applyAlignment="1">
      <alignment horizontal="left" wrapText="1"/>
    </xf>
    <xf numFmtId="3" fontId="19" fillId="0" borderId="26" xfId="0" applyNumberFormat="1" applyFont="1" applyFill="1" applyBorder="1" applyAlignment="1">
      <alignment wrapText="1"/>
    </xf>
    <xf numFmtId="0" fontId="12" fillId="0" borderId="27" xfId="0" applyFont="1" applyBorder="1" applyAlignment="1">
      <alignment wrapText="1"/>
    </xf>
    <xf numFmtId="0" fontId="15" fillId="0" borderId="28" xfId="0" applyFont="1" applyFill="1" applyBorder="1" applyAlignment="1">
      <alignment horizontal="left" wrapText="1"/>
    </xf>
    <xf numFmtId="2" fontId="4" fillId="0" borderId="26" xfId="0" applyNumberFormat="1" applyFont="1" applyFill="1" applyBorder="1" applyAlignment="1">
      <alignment/>
    </xf>
    <xf numFmtId="2" fontId="4" fillId="0" borderId="27" xfId="0" applyNumberFormat="1" applyFont="1" applyFill="1" applyBorder="1" applyAlignment="1">
      <alignment/>
    </xf>
    <xf numFmtId="0" fontId="10" fillId="0" borderId="0" xfId="0" applyFont="1" applyAlignment="1">
      <alignment horizontal="center" wrapText="1"/>
    </xf>
    <xf numFmtId="0" fontId="0" fillId="0" borderId="0" xfId="0" applyAlignment="1">
      <alignment/>
    </xf>
    <xf numFmtId="0" fontId="12" fillId="0" borderId="29" xfId="0" applyFont="1" applyBorder="1" applyAlignment="1">
      <alignment/>
    </xf>
    <xf numFmtId="0" fontId="12" fillId="0" borderId="30" xfId="0" applyFont="1" applyBorder="1" applyAlignment="1">
      <alignment/>
    </xf>
    <xf numFmtId="0" fontId="12" fillId="0" borderId="29" xfId="0" applyFont="1" applyFill="1" applyBorder="1" applyAlignment="1">
      <alignment/>
    </xf>
    <xf numFmtId="0" fontId="12" fillId="0" borderId="31" xfId="0" applyFont="1" applyBorder="1" applyAlignment="1">
      <alignment/>
    </xf>
    <xf numFmtId="0" fontId="12" fillId="0" borderId="32" xfId="0" applyFont="1" applyBorder="1" applyAlignment="1">
      <alignment/>
    </xf>
    <xf numFmtId="0" fontId="12" fillId="0" borderId="33" xfId="0" applyFont="1" applyBorder="1" applyAlignment="1">
      <alignment/>
    </xf>
    <xf numFmtId="2" fontId="11" fillId="0" borderId="19" xfId="0" applyNumberFormat="1" applyFont="1" applyFill="1" applyBorder="1" applyAlignment="1">
      <alignment/>
    </xf>
    <xf numFmtId="0" fontId="6" fillId="0" borderId="11" xfId="0" applyFont="1" applyBorder="1" applyAlignment="1">
      <alignment horizontal="center" vertical="center" wrapText="1"/>
    </xf>
    <xf numFmtId="0" fontId="0" fillId="0" borderId="0" xfId="0" applyBorder="1" applyAlignment="1">
      <alignment/>
    </xf>
    <xf numFmtId="0" fontId="0" fillId="0" borderId="0" xfId="0" applyAlignment="1">
      <alignment vertical="center"/>
    </xf>
    <xf numFmtId="167" fontId="12" fillId="0" borderId="20" xfId="0" applyNumberFormat="1" applyFont="1" applyFill="1" applyBorder="1" applyAlignment="1">
      <alignment horizontal="center" vertical="center"/>
    </xf>
    <xf numFmtId="0" fontId="11" fillId="35" borderId="34" xfId="0" applyFont="1" applyFill="1" applyBorder="1" applyAlignment="1">
      <alignment/>
    </xf>
    <xf numFmtId="0" fontId="6" fillId="0" borderId="15" xfId="0" applyFont="1" applyBorder="1" applyAlignment="1">
      <alignment horizontal="left" wrapText="1"/>
    </xf>
    <xf numFmtId="0" fontId="6" fillId="0" borderId="18" xfId="0" applyFont="1" applyBorder="1" applyAlignment="1">
      <alignment horizontal="left" wrapText="1"/>
    </xf>
    <xf numFmtId="0" fontId="6" fillId="0" borderId="23" xfId="0" applyFont="1" applyBorder="1" applyAlignment="1">
      <alignment horizontal="left" wrapText="1"/>
    </xf>
    <xf numFmtId="0" fontId="15" fillId="0" borderId="11" xfId="0" applyFont="1" applyBorder="1" applyAlignment="1">
      <alignment horizontal="right" wrapText="1"/>
    </xf>
    <xf numFmtId="0" fontId="2" fillId="0" borderId="13" xfId="0" applyFont="1" applyBorder="1" applyAlignment="1">
      <alignment horizontal="center" vertical="center"/>
    </xf>
    <xf numFmtId="0" fontId="15" fillId="33" borderId="10" xfId="0" applyFont="1" applyFill="1" applyBorder="1" applyAlignment="1">
      <alignment horizontal="center" vertical="center"/>
    </xf>
    <xf numFmtId="0" fontId="6" fillId="33" borderId="24" xfId="0" applyFont="1" applyFill="1" applyBorder="1" applyAlignment="1">
      <alignment horizontal="center" vertical="center"/>
    </xf>
    <xf numFmtId="0" fontId="12" fillId="0" borderId="0" xfId="0" applyFont="1" applyBorder="1" applyAlignment="1">
      <alignment wrapText="1"/>
    </xf>
    <xf numFmtId="0" fontId="6" fillId="0" borderId="11" xfId="0" applyFont="1" applyBorder="1" applyAlignment="1">
      <alignment horizontal="right"/>
    </xf>
    <xf numFmtId="3" fontId="6" fillId="0" borderId="11" xfId="0" applyNumberFormat="1" applyFont="1" applyBorder="1" applyAlignment="1">
      <alignment horizontal="center" vertical="center"/>
    </xf>
    <xf numFmtId="9" fontId="6" fillId="0" borderId="11" xfId="0" applyNumberFormat="1" applyFont="1" applyBorder="1" applyAlignment="1">
      <alignment horizontal="center" vertical="center"/>
    </xf>
    <xf numFmtId="0" fontId="11" fillId="19" borderId="14" xfId="0" applyFont="1" applyFill="1" applyBorder="1" applyAlignment="1">
      <alignment horizontal="left" vertical="center"/>
    </xf>
    <xf numFmtId="0" fontId="11" fillId="19" borderId="22" xfId="0" applyFont="1" applyFill="1" applyBorder="1" applyAlignment="1">
      <alignment horizontal="left" vertical="center"/>
    </xf>
    <xf numFmtId="0" fontId="6" fillId="0" borderId="22" xfId="0" applyFont="1" applyBorder="1" applyAlignment="1">
      <alignment vertical="center"/>
    </xf>
    <xf numFmtId="3" fontId="6" fillId="0" borderId="14" xfId="0" applyNumberFormat="1" applyFont="1" applyBorder="1" applyAlignment="1">
      <alignment vertical="center" wrapText="1"/>
    </xf>
    <xf numFmtId="3" fontId="6" fillId="0" borderId="22" xfId="0" applyNumberFormat="1" applyFont="1" applyBorder="1" applyAlignment="1">
      <alignment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3" fontId="6" fillId="0" borderId="17"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6" fillId="0" borderId="17" xfId="0" applyNumberFormat="1" applyFont="1" applyBorder="1" applyAlignment="1">
      <alignment horizontal="center" vertical="center" wrapText="1"/>
    </xf>
    <xf numFmtId="0" fontId="6" fillId="0" borderId="11" xfId="0" applyFont="1" applyBorder="1" applyAlignment="1">
      <alignment horizontal="center" vertical="center"/>
    </xf>
    <xf numFmtId="167" fontId="6" fillId="0" borderId="17" xfId="0" applyNumberFormat="1" applyFont="1" applyFill="1" applyBorder="1" applyAlignment="1">
      <alignment vertical="center"/>
    </xf>
    <xf numFmtId="167" fontId="6" fillId="0" borderId="14" xfId="0" applyNumberFormat="1" applyFont="1" applyFill="1" applyBorder="1" applyAlignment="1">
      <alignment vertical="center"/>
    </xf>
    <xf numFmtId="0" fontId="6" fillId="0" borderId="17" xfId="0" applyNumberFormat="1" applyFont="1" applyFill="1" applyBorder="1" applyAlignment="1">
      <alignment vertical="center"/>
    </xf>
    <xf numFmtId="0" fontId="6" fillId="0" borderId="14" xfId="0" applyNumberFormat="1" applyFont="1" applyFill="1" applyBorder="1" applyAlignment="1">
      <alignment vertical="center"/>
    </xf>
    <xf numFmtId="0" fontId="21" fillId="0" borderId="18" xfId="0" applyFont="1" applyBorder="1" applyAlignment="1">
      <alignment vertical="center" wrapText="1"/>
    </xf>
    <xf numFmtId="0" fontId="6" fillId="19" borderId="11" xfId="0" applyNumberFormat="1" applyFont="1" applyFill="1" applyBorder="1" applyAlignment="1">
      <alignment vertical="center"/>
    </xf>
    <xf numFmtId="0" fontId="45" fillId="0" borderId="0" xfId="0" applyFont="1" applyAlignment="1">
      <alignment wrapText="1"/>
    </xf>
    <xf numFmtId="0" fontId="15" fillId="36" borderId="23" xfId="0" applyFont="1" applyFill="1" applyBorder="1" applyAlignment="1">
      <alignment horizontal="left" wrapText="1"/>
    </xf>
    <xf numFmtId="0" fontId="15" fillId="36" borderId="22" xfId="0" applyFont="1" applyFill="1" applyBorder="1" applyAlignment="1">
      <alignment horizontal="center" wrapText="1"/>
    </xf>
    <xf numFmtId="0" fontId="46" fillId="37" borderId="19" xfId="0" applyFont="1" applyFill="1" applyBorder="1" applyAlignment="1">
      <alignment vertical="center" wrapText="1"/>
    </xf>
    <xf numFmtId="0" fontId="46" fillId="37" borderId="16" xfId="0" applyFont="1" applyFill="1" applyBorder="1" applyAlignment="1">
      <alignment vertical="center" wrapText="1"/>
    </xf>
    <xf numFmtId="0" fontId="46" fillId="37" borderId="20" xfId="0" applyFont="1" applyFill="1" applyBorder="1" applyAlignment="1">
      <alignment vertical="center" wrapText="1"/>
    </xf>
    <xf numFmtId="0" fontId="46" fillId="37" borderId="12" xfId="0" applyFont="1" applyFill="1" applyBorder="1" applyAlignment="1">
      <alignment vertical="center" wrapText="1"/>
    </xf>
    <xf numFmtId="0" fontId="101" fillId="0" borderId="18" xfId="0" applyFont="1" applyBorder="1" applyAlignment="1">
      <alignment/>
    </xf>
    <xf numFmtId="0" fontId="102" fillId="0" borderId="13" xfId="0" applyFont="1" applyBorder="1" applyAlignment="1">
      <alignment/>
    </xf>
    <xf numFmtId="0" fontId="103" fillId="0" borderId="0" xfId="0" applyFont="1" applyAlignment="1">
      <alignment/>
    </xf>
    <xf numFmtId="0" fontId="15" fillId="33" borderId="0" xfId="0" applyFont="1" applyFill="1" applyBorder="1" applyAlignment="1">
      <alignment vertical="center"/>
    </xf>
    <xf numFmtId="0" fontId="104" fillId="0" borderId="18" xfId="0" applyFont="1" applyBorder="1" applyAlignment="1">
      <alignment wrapText="1"/>
    </xf>
    <xf numFmtId="0" fontId="104" fillId="0" borderId="0" xfId="0" applyFont="1" applyAlignment="1">
      <alignment wrapText="1"/>
    </xf>
    <xf numFmtId="168" fontId="105" fillId="0" borderId="14" xfId="0" applyNumberFormat="1" applyFont="1" applyFill="1" applyBorder="1" applyAlignment="1">
      <alignment horizontal="center"/>
    </xf>
    <xf numFmtId="168" fontId="105" fillId="0" borderId="22" xfId="0" applyNumberFormat="1" applyFont="1" applyFill="1" applyBorder="1" applyAlignment="1">
      <alignment horizontal="center"/>
    </xf>
    <xf numFmtId="168" fontId="105" fillId="19" borderId="11" xfId="0" applyNumberFormat="1" applyFont="1" applyFill="1" applyBorder="1" applyAlignment="1">
      <alignment horizontal="center" vertical="center"/>
    </xf>
    <xf numFmtId="0" fontId="105" fillId="19" borderId="18" xfId="0" applyFont="1" applyFill="1" applyBorder="1" applyAlignment="1">
      <alignment horizontal="center" vertical="center"/>
    </xf>
    <xf numFmtId="0" fontId="105" fillId="19" borderId="0" xfId="0" applyFont="1" applyFill="1" applyBorder="1" applyAlignment="1">
      <alignment horizontal="center" vertical="center"/>
    </xf>
    <xf numFmtId="0" fontId="105" fillId="19" borderId="23" xfId="0" applyFont="1" applyFill="1" applyBorder="1" applyAlignment="1">
      <alignment horizontal="center" vertical="center"/>
    </xf>
    <xf numFmtId="0" fontId="105" fillId="19" borderId="20" xfId="0" applyFont="1" applyFill="1" applyBorder="1" applyAlignment="1">
      <alignment horizontal="center" vertical="center"/>
    </xf>
    <xf numFmtId="1" fontId="19" fillId="19" borderId="13" xfId="0" applyNumberFormat="1" applyFont="1" applyFill="1" applyBorder="1" applyAlignment="1">
      <alignment horizontal="center" vertical="center"/>
    </xf>
    <xf numFmtId="1" fontId="19" fillId="19" borderId="12" xfId="0" applyNumberFormat="1" applyFont="1" applyFill="1" applyBorder="1" applyAlignment="1">
      <alignment horizontal="center" vertical="center"/>
    </xf>
    <xf numFmtId="0" fontId="15" fillId="0" borderId="18" xfId="0" applyFont="1" applyFill="1" applyBorder="1" applyAlignment="1">
      <alignment horizontal="left" vertical="center"/>
    </xf>
    <xf numFmtId="0" fontId="6" fillId="0" borderId="0" xfId="0" applyFont="1" applyFill="1" applyBorder="1" applyAlignment="1">
      <alignment horizontal="center" vertical="center"/>
    </xf>
    <xf numFmtId="0" fontId="11" fillId="0" borderId="11" xfId="0" applyFont="1" applyFill="1" applyBorder="1" applyAlignment="1">
      <alignment/>
    </xf>
    <xf numFmtId="0" fontId="11" fillId="0" borderId="17" xfId="0" applyFont="1" applyFill="1" applyBorder="1" applyAlignment="1">
      <alignment/>
    </xf>
    <xf numFmtId="0" fontId="12" fillId="0" borderId="21" xfId="0" applyFont="1" applyBorder="1" applyAlignment="1">
      <alignment/>
    </xf>
    <xf numFmtId="0" fontId="12" fillId="0" borderId="10" xfId="0" applyFont="1" applyBorder="1" applyAlignment="1">
      <alignment/>
    </xf>
    <xf numFmtId="0" fontId="12" fillId="0" borderId="24" xfId="0" applyFont="1" applyBorder="1" applyAlignment="1">
      <alignment/>
    </xf>
    <xf numFmtId="0" fontId="12" fillId="0" borderId="13" xfId="0" applyFont="1" applyBorder="1" applyAlignment="1">
      <alignment/>
    </xf>
    <xf numFmtId="0" fontId="11" fillId="0" borderId="14" xfId="0" applyFont="1" applyFill="1" applyBorder="1" applyAlignment="1">
      <alignment/>
    </xf>
    <xf numFmtId="0" fontId="11" fillId="0" borderId="22" xfId="0" applyFont="1" applyFill="1" applyBorder="1" applyAlignment="1">
      <alignment/>
    </xf>
    <xf numFmtId="0" fontId="12" fillId="0" borderId="20" xfId="0" applyFont="1" applyBorder="1" applyAlignment="1">
      <alignment/>
    </xf>
    <xf numFmtId="0" fontId="15" fillId="33" borderId="13" xfId="0" applyFont="1" applyFill="1" applyBorder="1" applyAlignment="1">
      <alignment vertical="center"/>
    </xf>
    <xf numFmtId="0" fontId="13" fillId="0" borderId="15" xfId="0" applyFont="1" applyBorder="1" applyAlignment="1">
      <alignment/>
    </xf>
    <xf numFmtId="0" fontId="13" fillId="0" borderId="18" xfId="0" applyFont="1" applyBorder="1" applyAlignment="1">
      <alignment/>
    </xf>
    <xf numFmtId="1" fontId="13" fillId="0" borderId="18" xfId="0" applyNumberFormat="1" applyFont="1" applyBorder="1" applyAlignment="1">
      <alignment/>
    </xf>
    <xf numFmtId="1" fontId="19" fillId="0" borderId="20" xfId="0" applyNumberFormat="1" applyFont="1" applyBorder="1" applyAlignment="1">
      <alignment/>
    </xf>
    <xf numFmtId="0" fontId="11" fillId="0" borderId="12" xfId="0" applyFont="1" applyBorder="1" applyAlignment="1">
      <alignment/>
    </xf>
    <xf numFmtId="0" fontId="12" fillId="0" borderId="0" xfId="0" applyFont="1" applyFill="1" applyBorder="1" applyAlignment="1">
      <alignment horizontal="left" wrapText="1"/>
    </xf>
    <xf numFmtId="169" fontId="105" fillId="0" borderId="11" xfId="42" applyNumberFormat="1" applyFont="1" applyBorder="1" applyAlignment="1">
      <alignment horizontal="right"/>
    </xf>
    <xf numFmtId="168" fontId="105" fillId="0" borderId="11" xfId="0" applyNumberFormat="1" applyFont="1" applyBorder="1" applyAlignment="1">
      <alignment horizontal="right"/>
    </xf>
    <xf numFmtId="3" fontId="11" fillId="0" borderId="0" xfId="0" applyNumberFormat="1" applyFont="1" applyFill="1" applyBorder="1" applyAlignment="1">
      <alignment wrapText="1"/>
    </xf>
    <xf numFmtId="0" fontId="106" fillId="0" borderId="0" xfId="0" applyFont="1" applyBorder="1" applyAlignment="1">
      <alignment/>
    </xf>
    <xf numFmtId="167" fontId="53" fillId="0" borderId="18" xfId="46" applyNumberFormat="1" applyFont="1" applyBorder="1" applyAlignment="1">
      <alignment horizontal="right" vertical="center"/>
    </xf>
    <xf numFmtId="0" fontId="11" fillId="0" borderId="0" xfId="0" applyFont="1" applyFill="1" applyAlignment="1">
      <alignment/>
    </xf>
    <xf numFmtId="0" fontId="54" fillId="0" borderId="0" xfId="0" applyFont="1" applyBorder="1" applyAlignment="1">
      <alignment horizontal="right"/>
    </xf>
    <xf numFmtId="1" fontId="54" fillId="0" borderId="0" xfId="0" applyNumberFormat="1" applyFont="1" applyBorder="1" applyAlignment="1">
      <alignment/>
    </xf>
    <xf numFmtId="0" fontId="54" fillId="0" borderId="0" xfId="0" applyFont="1" applyBorder="1" applyAlignment="1">
      <alignment/>
    </xf>
    <xf numFmtId="0" fontId="11" fillId="0" borderId="0" xfId="0" applyFont="1" applyBorder="1" applyAlignment="1">
      <alignment/>
    </xf>
    <xf numFmtId="167" fontId="53" fillId="0" borderId="23" xfId="46" applyNumberFormat="1" applyFont="1" applyBorder="1" applyAlignment="1">
      <alignment horizontal="right" vertical="center"/>
    </xf>
    <xf numFmtId="167" fontId="53" fillId="0" borderId="0" xfId="46" applyNumberFormat="1" applyFont="1" applyBorder="1" applyAlignment="1">
      <alignment vertical="center"/>
    </xf>
    <xf numFmtId="0" fontId="11" fillId="0" borderId="0" xfId="0" applyFont="1" applyFill="1" applyBorder="1" applyAlignment="1">
      <alignment/>
    </xf>
    <xf numFmtId="167" fontId="53" fillId="0" borderId="0" xfId="46" applyNumberFormat="1" applyFont="1" applyBorder="1" applyAlignment="1">
      <alignment horizontal="right" vertical="center"/>
    </xf>
    <xf numFmtId="0" fontId="11" fillId="38" borderId="0" xfId="0" applyFont="1" applyFill="1" applyBorder="1" applyAlignment="1">
      <alignment/>
    </xf>
    <xf numFmtId="0" fontId="11" fillId="36" borderId="0" xfId="0" applyFont="1" applyFill="1" applyAlignment="1">
      <alignment/>
    </xf>
    <xf numFmtId="0" fontId="11" fillId="36" borderId="0" xfId="0" applyFont="1" applyFill="1" applyBorder="1" applyAlignment="1">
      <alignment/>
    </xf>
    <xf numFmtId="0" fontId="11" fillId="38" borderId="18" xfId="0" applyFont="1" applyFill="1" applyBorder="1" applyAlignment="1">
      <alignment/>
    </xf>
    <xf numFmtId="0" fontId="11" fillId="38" borderId="23" xfId="0" applyFont="1" applyFill="1" applyBorder="1" applyAlignment="1">
      <alignment/>
    </xf>
    <xf numFmtId="0" fontId="11" fillId="38" borderId="20" xfId="0" applyFont="1" applyFill="1" applyBorder="1" applyAlignment="1">
      <alignment/>
    </xf>
    <xf numFmtId="0" fontId="11" fillId="38" borderId="15" xfId="0" applyFont="1" applyFill="1" applyBorder="1" applyAlignment="1">
      <alignment horizontal="right"/>
    </xf>
    <xf numFmtId="9" fontId="105" fillId="38" borderId="19" xfId="0" applyNumberFormat="1" applyFont="1" applyFill="1" applyBorder="1" applyAlignment="1">
      <alignment horizontal="center"/>
    </xf>
    <xf numFmtId="0" fontId="28" fillId="34" borderId="21" xfId="0" applyFont="1" applyFill="1" applyBorder="1" applyAlignment="1">
      <alignment horizontal="center"/>
    </xf>
    <xf numFmtId="167" fontId="19" fillId="19" borderId="11" xfId="0" applyNumberFormat="1" applyFont="1" applyFill="1" applyBorder="1" applyAlignment="1">
      <alignment horizontal="right" vertical="center"/>
    </xf>
    <xf numFmtId="167" fontId="105" fillId="19" borderId="11" xfId="0" applyNumberFormat="1" applyFont="1" applyFill="1" applyBorder="1" applyAlignment="1">
      <alignment horizontal="right" vertical="center"/>
    </xf>
    <xf numFmtId="170" fontId="53" fillId="0" borderId="15" xfId="42" applyNumberFormat="1" applyFont="1" applyBorder="1" applyAlignment="1">
      <alignment horizontal="right" vertical="center"/>
    </xf>
    <xf numFmtId="170" fontId="53" fillId="0" borderId="18" xfId="42" applyNumberFormat="1" applyFont="1" applyBorder="1" applyAlignment="1">
      <alignment horizontal="right" vertical="center"/>
    </xf>
    <xf numFmtId="170" fontId="53" fillId="0" borderId="23" xfId="42" applyNumberFormat="1" applyFont="1" applyBorder="1" applyAlignment="1">
      <alignment horizontal="right" vertical="center"/>
    </xf>
    <xf numFmtId="169" fontId="11" fillId="39" borderId="22" xfId="42" applyNumberFormat="1" applyFont="1" applyFill="1" applyBorder="1" applyAlignment="1">
      <alignment/>
    </xf>
    <xf numFmtId="169" fontId="11" fillId="39" borderId="11" xfId="42" applyNumberFormat="1" applyFont="1" applyFill="1" applyBorder="1" applyAlignment="1">
      <alignment/>
    </xf>
    <xf numFmtId="169" fontId="11" fillId="39" borderId="17" xfId="42" applyNumberFormat="1" applyFont="1" applyFill="1" applyBorder="1" applyAlignment="1">
      <alignment/>
    </xf>
    <xf numFmtId="0" fontId="107" fillId="0" borderId="0" xfId="0" applyFont="1" applyBorder="1" applyAlignment="1">
      <alignment/>
    </xf>
    <xf numFmtId="0" fontId="11" fillId="0" borderId="13" xfId="0" applyFont="1" applyBorder="1" applyAlignment="1">
      <alignment wrapText="1"/>
    </xf>
    <xf numFmtId="167" fontId="53" fillId="36" borderId="0" xfId="46" applyNumberFormat="1" applyFont="1" applyFill="1" applyBorder="1" applyAlignment="1">
      <alignment horizontal="right" vertical="center"/>
    </xf>
    <xf numFmtId="0" fontId="108" fillId="0" borderId="15" xfId="0" applyFont="1" applyBorder="1" applyAlignment="1">
      <alignment/>
    </xf>
    <xf numFmtId="0" fontId="108" fillId="0" borderId="19" xfId="0" applyFont="1" applyFill="1" applyBorder="1" applyAlignment="1">
      <alignment horizontal="right"/>
    </xf>
    <xf numFmtId="0" fontId="108" fillId="0" borderId="19" xfId="0" applyFont="1" applyFill="1" applyBorder="1" applyAlignment="1">
      <alignment/>
    </xf>
    <xf numFmtId="0" fontId="108" fillId="0" borderId="16" xfId="0" applyFont="1" applyFill="1" applyBorder="1" applyAlignment="1">
      <alignment/>
    </xf>
    <xf numFmtId="0" fontId="108" fillId="0" borderId="18" xfId="0" applyFont="1" applyBorder="1" applyAlignment="1">
      <alignment/>
    </xf>
    <xf numFmtId="0" fontId="108" fillId="0" borderId="0" xfId="0" applyFont="1" applyFill="1" applyBorder="1" applyAlignment="1">
      <alignment horizontal="right"/>
    </xf>
    <xf numFmtId="0" fontId="108" fillId="0" borderId="0" xfId="0" applyFont="1" applyFill="1" applyBorder="1" applyAlignment="1">
      <alignment/>
    </xf>
    <xf numFmtId="0" fontId="108" fillId="0" borderId="13" xfId="0" applyFont="1" applyFill="1" applyBorder="1" applyAlignment="1">
      <alignment/>
    </xf>
    <xf numFmtId="167" fontId="108" fillId="0" borderId="0" xfId="0" applyNumberFormat="1" applyFont="1" applyBorder="1" applyAlignment="1">
      <alignment/>
    </xf>
    <xf numFmtId="0" fontId="108" fillId="0" borderId="13" xfId="0" applyFont="1" applyBorder="1" applyAlignment="1">
      <alignment/>
    </xf>
    <xf numFmtId="167" fontId="108" fillId="0" borderId="20" xfId="0" applyNumberFormat="1" applyFont="1" applyBorder="1" applyAlignment="1">
      <alignment/>
    </xf>
    <xf numFmtId="0" fontId="108" fillId="0" borderId="12" xfId="0" applyFont="1" applyBorder="1" applyAlignment="1">
      <alignment/>
    </xf>
    <xf numFmtId="0" fontId="108" fillId="0" borderId="19" xfId="0" applyFont="1" applyBorder="1" applyAlignment="1">
      <alignment/>
    </xf>
    <xf numFmtId="0" fontId="108" fillId="0" borderId="16" xfId="0" applyFont="1" applyBorder="1" applyAlignment="1">
      <alignment/>
    </xf>
    <xf numFmtId="0" fontId="108" fillId="0" borderId="0" xfId="0" applyFont="1" applyBorder="1" applyAlignment="1">
      <alignment/>
    </xf>
    <xf numFmtId="0" fontId="108" fillId="0" borderId="20" xfId="0" applyFont="1" applyBorder="1" applyAlignment="1">
      <alignment/>
    </xf>
    <xf numFmtId="0" fontId="109" fillId="40" borderId="10" xfId="0" applyFont="1" applyFill="1" applyBorder="1" applyAlignment="1">
      <alignment/>
    </xf>
    <xf numFmtId="0" fontId="110" fillId="0" borderId="0" xfId="0" applyFont="1" applyAlignment="1">
      <alignment/>
    </xf>
    <xf numFmtId="0" fontId="4" fillId="0" borderId="0" xfId="0" applyFont="1" applyBorder="1" applyAlignment="1">
      <alignment/>
    </xf>
    <xf numFmtId="0" fontId="4" fillId="0" borderId="0" xfId="0" applyFont="1" applyFill="1" applyBorder="1" applyAlignment="1">
      <alignment vertical="center" wrapText="1"/>
    </xf>
    <xf numFmtId="0" fontId="4" fillId="0" borderId="35" xfId="0" applyFont="1" applyBorder="1" applyAlignment="1">
      <alignment/>
    </xf>
    <xf numFmtId="0" fontId="4" fillId="0" borderId="29" xfId="0" applyFont="1" applyBorder="1" applyAlignment="1">
      <alignment/>
    </xf>
    <xf numFmtId="0" fontId="4" fillId="0" borderId="30" xfId="0" applyFont="1" applyBorder="1" applyAlignment="1">
      <alignment/>
    </xf>
    <xf numFmtId="167" fontId="53" fillId="0" borderId="0" xfId="46" applyNumberFormat="1" applyFont="1" applyBorder="1" applyAlignment="1">
      <alignment horizontal="left" vertical="center"/>
    </xf>
    <xf numFmtId="0" fontId="11" fillId="0" borderId="13" xfId="0" applyFont="1" applyBorder="1" applyAlignment="1">
      <alignment horizontal="left"/>
    </xf>
    <xf numFmtId="0" fontId="11" fillId="0" borderId="13" xfId="0" applyFont="1" applyFill="1" applyBorder="1" applyAlignment="1">
      <alignment horizontal="left"/>
    </xf>
    <xf numFmtId="167" fontId="53" fillId="0" borderId="20" xfId="46" applyNumberFormat="1" applyFont="1" applyBorder="1" applyAlignment="1">
      <alignment horizontal="left" vertical="center"/>
    </xf>
    <xf numFmtId="0" fontId="11" fillId="0" borderId="12" xfId="0" applyFont="1" applyBorder="1" applyAlignment="1">
      <alignment horizontal="left"/>
    </xf>
    <xf numFmtId="167" fontId="53" fillId="0" borderId="16" xfId="46" applyNumberFormat="1" applyFont="1" applyBorder="1" applyAlignment="1">
      <alignment horizontal="left" vertical="center"/>
    </xf>
    <xf numFmtId="167" fontId="53" fillId="0" borderId="13" xfId="46" applyNumberFormat="1" applyFont="1" applyBorder="1" applyAlignment="1">
      <alignment horizontal="left" vertical="center"/>
    </xf>
    <xf numFmtId="167" fontId="53" fillId="0" borderId="12" xfId="46" applyNumberFormat="1" applyFont="1" applyBorder="1" applyAlignment="1">
      <alignment horizontal="left" vertical="center"/>
    </xf>
    <xf numFmtId="0" fontId="108" fillId="0" borderId="20" xfId="0" applyFont="1" applyFill="1" applyBorder="1" applyAlignment="1">
      <alignment/>
    </xf>
    <xf numFmtId="0" fontId="108" fillId="0" borderId="12" xfId="0" applyFont="1" applyFill="1" applyBorder="1" applyAlignment="1">
      <alignment/>
    </xf>
    <xf numFmtId="170" fontId="108" fillId="0" borderId="19" xfId="42" applyNumberFormat="1" applyFont="1" applyBorder="1" applyAlignment="1">
      <alignment horizontal="right" vertical="center"/>
    </xf>
    <xf numFmtId="167" fontId="108" fillId="0" borderId="16" xfId="46" applyNumberFormat="1" applyFont="1" applyBorder="1" applyAlignment="1">
      <alignment horizontal="left" vertical="center"/>
    </xf>
    <xf numFmtId="0" fontId="111" fillId="0" borderId="15" xfId="0" applyFont="1" applyBorder="1" applyAlignment="1">
      <alignment/>
    </xf>
    <xf numFmtId="0" fontId="111" fillId="0" borderId="19" xfId="0" applyFont="1" applyBorder="1" applyAlignment="1">
      <alignment/>
    </xf>
    <xf numFmtId="0" fontId="11" fillId="0" borderId="21" xfId="0" applyFont="1" applyFill="1" applyBorder="1" applyAlignment="1">
      <alignment/>
    </xf>
    <xf numFmtId="0" fontId="11" fillId="0" borderId="10" xfId="0" applyFont="1" applyFill="1" applyBorder="1" applyAlignment="1">
      <alignment/>
    </xf>
    <xf numFmtId="0" fontId="10" fillId="0" borderId="0" xfId="0" applyFont="1" applyBorder="1" applyAlignment="1">
      <alignment/>
    </xf>
    <xf numFmtId="0" fontId="10" fillId="0" borderId="0" xfId="0" applyFont="1" applyBorder="1" applyAlignment="1">
      <alignment horizontal="center"/>
    </xf>
    <xf numFmtId="0" fontId="112" fillId="0" borderId="18" xfId="0" applyFont="1" applyBorder="1" applyAlignment="1">
      <alignment/>
    </xf>
    <xf numFmtId="0" fontId="112" fillId="0" borderId="13" xfId="0" applyFont="1" applyBorder="1" applyAlignment="1">
      <alignment/>
    </xf>
    <xf numFmtId="0" fontId="113" fillId="0" borderId="18" xfId="46" applyFont="1" applyBorder="1" applyAlignment="1">
      <alignment wrapText="1"/>
    </xf>
    <xf numFmtId="0" fontId="113" fillId="0" borderId="0" xfId="46" applyFont="1" applyBorder="1" applyAlignment="1">
      <alignment wrapText="1"/>
    </xf>
    <xf numFmtId="0" fontId="11" fillId="0" borderId="14" xfId="0" applyFont="1" applyBorder="1" applyAlignment="1">
      <alignment horizontal="left" vertical="center"/>
    </xf>
    <xf numFmtId="0" fontId="19" fillId="0" borderId="13" xfId="0" applyFont="1" applyBorder="1" applyAlignment="1">
      <alignment/>
    </xf>
    <xf numFmtId="0" fontId="7" fillId="0" borderId="14" xfId="0" applyFont="1" applyBorder="1" applyAlignment="1">
      <alignment horizontal="center"/>
    </xf>
    <xf numFmtId="0" fontId="12" fillId="0" borderId="13" xfId="0" applyFont="1" applyBorder="1" applyAlignment="1">
      <alignment horizontal="left"/>
    </xf>
    <xf numFmtId="0" fontId="12" fillId="0" borderId="14" xfId="0" applyFont="1" applyBorder="1" applyAlignment="1">
      <alignment horizontal="left" vertical="center"/>
    </xf>
    <xf numFmtId="0" fontId="11" fillId="0" borderId="22" xfId="0" applyFont="1" applyBorder="1" applyAlignment="1">
      <alignment horizontal="left" vertical="center"/>
    </xf>
    <xf numFmtId="0" fontId="19" fillId="0" borderId="12" xfId="0" applyFont="1" applyBorder="1" applyAlignment="1">
      <alignment/>
    </xf>
    <xf numFmtId="0" fontId="12" fillId="0" borderId="15" xfId="0" applyFont="1" applyBorder="1" applyAlignment="1">
      <alignment/>
    </xf>
    <xf numFmtId="0" fontId="12" fillId="0" borderId="16" xfId="0" applyFont="1" applyBorder="1" applyAlignment="1">
      <alignment/>
    </xf>
    <xf numFmtId="0" fontId="12" fillId="0" borderId="18" xfId="0" applyFont="1" applyBorder="1" applyAlignment="1">
      <alignment/>
    </xf>
    <xf numFmtId="3" fontId="112" fillId="0" borderId="18" xfId="0" applyNumberFormat="1" applyFont="1" applyBorder="1" applyAlignment="1">
      <alignment/>
    </xf>
    <xf numFmtId="0" fontId="12" fillId="0" borderId="18" xfId="0" applyFont="1" applyBorder="1" applyAlignment="1">
      <alignment/>
    </xf>
    <xf numFmtId="0" fontId="4" fillId="0" borderId="18" xfId="0" applyFont="1" applyBorder="1" applyAlignment="1">
      <alignment/>
    </xf>
    <xf numFmtId="0" fontId="15" fillId="33" borderId="24" xfId="0" applyFont="1" applyFill="1" applyBorder="1" applyAlignment="1">
      <alignment/>
    </xf>
    <xf numFmtId="0" fontId="112" fillId="0" borderId="18" xfId="0" applyNumberFormat="1" applyFont="1" applyBorder="1" applyAlignment="1">
      <alignment/>
    </xf>
    <xf numFmtId="0" fontId="112" fillId="0" borderId="23" xfId="0" applyFont="1" applyBorder="1" applyAlignment="1">
      <alignment/>
    </xf>
    <xf numFmtId="0" fontId="112" fillId="0" borderId="12" xfId="0" applyFont="1" applyBorder="1" applyAlignment="1">
      <alignment/>
    </xf>
    <xf numFmtId="0" fontId="113" fillId="0" borderId="15" xfId="46" applyFont="1" applyBorder="1" applyAlignment="1">
      <alignment vertical="center"/>
    </xf>
    <xf numFmtId="0" fontId="113" fillId="0" borderId="19" xfId="46" applyNumberFormat="1" applyFont="1" applyFill="1" applyBorder="1" applyAlignment="1">
      <alignment horizontal="right" vertical="center"/>
    </xf>
    <xf numFmtId="0" fontId="113" fillId="0" borderId="16" xfId="46" applyNumberFormat="1" applyFont="1" applyFill="1" applyBorder="1" applyAlignment="1">
      <alignment horizontal="left" vertical="center"/>
    </xf>
    <xf numFmtId="0" fontId="113" fillId="0" borderId="18" xfId="46" applyFont="1" applyBorder="1" applyAlignment="1">
      <alignment vertical="center"/>
    </xf>
    <xf numFmtId="0" fontId="113" fillId="0" borderId="0" xfId="46" applyNumberFormat="1" applyFont="1" applyFill="1" applyBorder="1" applyAlignment="1">
      <alignment horizontal="right" vertical="center"/>
    </xf>
    <xf numFmtId="0" fontId="113" fillId="0" borderId="13" xfId="46" applyNumberFormat="1" applyFont="1" applyFill="1" applyBorder="1" applyAlignment="1">
      <alignment horizontal="left" vertical="center"/>
    </xf>
    <xf numFmtId="166" fontId="113" fillId="0" borderId="0" xfId="46" applyNumberFormat="1" applyFont="1" applyFill="1" applyBorder="1" applyAlignment="1">
      <alignment horizontal="right" vertical="center"/>
    </xf>
    <xf numFmtId="0" fontId="113" fillId="0" borderId="23" xfId="46" applyFont="1" applyBorder="1" applyAlignment="1">
      <alignment vertical="center"/>
    </xf>
    <xf numFmtId="166" fontId="113" fillId="0" borderId="20" xfId="46" applyNumberFormat="1" applyFont="1" applyFill="1" applyBorder="1" applyAlignment="1">
      <alignment horizontal="right" vertical="center"/>
    </xf>
    <xf numFmtId="0" fontId="113" fillId="0" borderId="12" xfId="46" applyNumberFormat="1" applyFont="1" applyFill="1" applyBorder="1" applyAlignment="1">
      <alignment horizontal="left" vertical="center"/>
    </xf>
    <xf numFmtId="0" fontId="61" fillId="0" borderId="18" xfId="46" applyFont="1" applyBorder="1" applyAlignment="1">
      <alignment horizontal="right" vertical="center"/>
    </xf>
    <xf numFmtId="0" fontId="61" fillId="0" borderId="13" xfId="46" applyFont="1" applyBorder="1" applyAlignment="1">
      <alignment horizontal="right" vertical="center"/>
    </xf>
    <xf numFmtId="0" fontId="61" fillId="0" borderId="18" xfId="46" applyFont="1" applyBorder="1" applyAlignment="1">
      <alignment vertical="center" wrapText="1"/>
    </xf>
    <xf numFmtId="0" fontId="61" fillId="0" borderId="13" xfId="46" applyFont="1" applyBorder="1" applyAlignment="1">
      <alignment horizontal="right" vertical="center" wrapText="1"/>
    </xf>
    <xf numFmtId="167" fontId="61" fillId="0" borderId="18" xfId="46" applyNumberFormat="1" applyFont="1" applyBorder="1" applyAlignment="1">
      <alignment horizontal="right" vertical="center"/>
    </xf>
    <xf numFmtId="167" fontId="61" fillId="0" borderId="13" xfId="46" applyNumberFormat="1" applyFont="1" applyBorder="1" applyAlignment="1">
      <alignment horizontal="right" vertical="center"/>
    </xf>
    <xf numFmtId="0" fontId="61" fillId="0" borderId="23" xfId="46" applyFont="1" applyBorder="1" applyAlignment="1">
      <alignment horizontal="right" vertical="center"/>
    </xf>
    <xf numFmtId="0" fontId="61" fillId="0" borderId="12" xfId="46" applyFont="1" applyBorder="1" applyAlignment="1">
      <alignment horizontal="right" vertical="center"/>
    </xf>
    <xf numFmtId="0" fontId="61" fillId="0" borderId="15" xfId="46" applyFont="1" applyBorder="1" applyAlignment="1">
      <alignment horizontal="right" vertical="center"/>
    </xf>
    <xf numFmtId="0" fontId="61" fillId="0" borderId="16" xfId="46" applyFont="1" applyBorder="1" applyAlignment="1">
      <alignment horizontal="right" vertical="center"/>
    </xf>
    <xf numFmtId="0" fontId="114" fillId="0" borderId="15" xfId="0" applyFont="1" applyBorder="1" applyAlignment="1">
      <alignment/>
    </xf>
    <xf numFmtId="0" fontId="114" fillId="0" borderId="16" xfId="0" applyFont="1" applyBorder="1" applyAlignment="1">
      <alignment/>
    </xf>
    <xf numFmtId="0" fontId="61" fillId="0" borderId="23" xfId="46" applyFont="1" applyBorder="1" applyAlignment="1">
      <alignment vertical="center" wrapText="1"/>
    </xf>
    <xf numFmtId="0" fontId="61" fillId="0" borderId="12" xfId="46" applyFont="1" applyBorder="1" applyAlignment="1">
      <alignment horizontal="right" vertical="center" wrapText="1"/>
    </xf>
    <xf numFmtId="0" fontId="115" fillId="0" borderId="18" xfId="46" applyFont="1" applyBorder="1" applyAlignment="1">
      <alignment horizontal="right" vertical="center"/>
    </xf>
    <xf numFmtId="0" fontId="115" fillId="0" borderId="13" xfId="46" applyFont="1" applyBorder="1" applyAlignment="1">
      <alignment horizontal="left" vertical="center"/>
    </xf>
    <xf numFmtId="166" fontId="115" fillId="0" borderId="18" xfId="46" applyNumberFormat="1" applyFont="1" applyBorder="1" applyAlignment="1">
      <alignment horizontal="right" vertical="center"/>
    </xf>
    <xf numFmtId="1" fontId="115" fillId="0" borderId="18" xfId="46" applyNumberFormat="1" applyFont="1" applyBorder="1" applyAlignment="1">
      <alignment horizontal="right" vertical="center"/>
    </xf>
    <xf numFmtId="0" fontId="115" fillId="0" borderId="23" xfId="46" applyFont="1" applyBorder="1" applyAlignment="1">
      <alignment vertical="center"/>
    </xf>
    <xf numFmtId="0" fontId="115" fillId="0" borderId="12" xfId="46" applyFont="1" applyBorder="1" applyAlignment="1">
      <alignment vertical="center"/>
    </xf>
    <xf numFmtId="0" fontId="63" fillId="0" borderId="15" xfId="0" applyNumberFormat="1" applyFont="1" applyFill="1" applyBorder="1" applyAlignment="1">
      <alignment horizontal="right" vertical="center"/>
    </xf>
    <xf numFmtId="0" fontId="63" fillId="0" borderId="16" xfId="0" applyNumberFormat="1" applyFont="1" applyFill="1" applyBorder="1" applyAlignment="1">
      <alignment horizontal="left" vertical="center"/>
    </xf>
    <xf numFmtId="0" fontId="63" fillId="0" borderId="23" xfId="0" applyNumberFormat="1" applyFont="1" applyFill="1" applyBorder="1" applyAlignment="1">
      <alignment horizontal="right" vertical="center"/>
    </xf>
    <xf numFmtId="0" fontId="63" fillId="0" borderId="12" xfId="0" applyNumberFormat="1" applyFont="1" applyFill="1" applyBorder="1" applyAlignment="1">
      <alignment horizontal="left" vertical="center"/>
    </xf>
    <xf numFmtId="0" fontId="45" fillId="0" borderId="0" xfId="0" applyFont="1" applyBorder="1" applyAlignment="1">
      <alignment wrapText="1"/>
    </xf>
    <xf numFmtId="169" fontId="12" fillId="0" borderId="0" xfId="42" applyNumberFormat="1" applyFont="1" applyAlignment="1">
      <alignment horizontal="right" vertical="center" wrapText="1"/>
    </xf>
    <xf numFmtId="169" fontId="12" fillId="0" borderId="0" xfId="42" applyNumberFormat="1" applyFont="1" applyAlignment="1">
      <alignment horizontal="right" wrapText="1"/>
    </xf>
    <xf numFmtId="0" fontId="12" fillId="38" borderId="15" xfId="0" applyFont="1" applyFill="1" applyBorder="1" applyAlignment="1">
      <alignment horizontal="left" wrapText="1"/>
    </xf>
    <xf numFmtId="0" fontId="12" fillId="38" borderId="19" xfId="0" applyFont="1" applyFill="1" applyBorder="1" applyAlignment="1">
      <alignment horizontal="left" wrapText="1"/>
    </xf>
    <xf numFmtId="0" fontId="12" fillId="38" borderId="16" xfId="0" applyFont="1" applyFill="1" applyBorder="1" applyAlignment="1">
      <alignment horizontal="left" wrapText="1"/>
    </xf>
    <xf numFmtId="0" fontId="12" fillId="38" borderId="18" xfId="0" applyFont="1" applyFill="1" applyBorder="1" applyAlignment="1">
      <alignment horizontal="left" wrapText="1"/>
    </xf>
    <xf numFmtId="0" fontId="12" fillId="38" borderId="0" xfId="0" applyFont="1" applyFill="1" applyBorder="1" applyAlignment="1">
      <alignment horizontal="left" wrapText="1"/>
    </xf>
    <xf numFmtId="0" fontId="12" fillId="38" borderId="13" xfId="0" applyFont="1" applyFill="1" applyBorder="1" applyAlignment="1">
      <alignment horizontal="left" wrapText="1"/>
    </xf>
    <xf numFmtId="0" fontId="38" fillId="35" borderId="36" xfId="0" applyFont="1" applyFill="1" applyBorder="1" applyAlignment="1">
      <alignment horizontal="center" vertical="center" wrapText="1"/>
    </xf>
    <xf numFmtId="0" fontId="38" fillId="35" borderId="37" xfId="0" applyFont="1" applyFill="1" applyBorder="1" applyAlignment="1">
      <alignment horizontal="center" vertical="center" wrapText="1"/>
    </xf>
    <xf numFmtId="0" fontId="38" fillId="35" borderId="35" xfId="0" applyFont="1" applyFill="1" applyBorder="1" applyAlignment="1">
      <alignment horizontal="center" vertical="center" wrapText="1"/>
    </xf>
    <xf numFmtId="0" fontId="38" fillId="35" borderId="31" xfId="0" applyFont="1" applyFill="1" applyBorder="1" applyAlignment="1">
      <alignment horizontal="center" vertical="center" wrapText="1"/>
    </xf>
    <xf numFmtId="0" fontId="38" fillId="35" borderId="32" xfId="0" applyFont="1" applyFill="1" applyBorder="1" applyAlignment="1">
      <alignment horizontal="center" vertical="center" wrapText="1"/>
    </xf>
    <xf numFmtId="0" fontId="38" fillId="35" borderId="33" xfId="0" applyFont="1" applyFill="1" applyBorder="1" applyAlignment="1">
      <alignment horizontal="center" vertical="center" wrapText="1"/>
    </xf>
    <xf numFmtId="0" fontId="12" fillId="0" borderId="15" xfId="0" applyFont="1" applyBorder="1" applyAlignment="1">
      <alignment horizontal="center" wrapText="1"/>
    </xf>
    <xf numFmtId="0" fontId="12" fillId="0" borderId="19" xfId="0" applyFont="1" applyBorder="1" applyAlignment="1">
      <alignment horizontal="center" wrapText="1"/>
    </xf>
    <xf numFmtId="0" fontId="12" fillId="0" borderId="16" xfId="0" applyFont="1" applyBorder="1" applyAlignment="1">
      <alignment horizontal="center" wrapText="1"/>
    </xf>
    <xf numFmtId="0" fontId="12" fillId="0" borderId="18" xfId="0" applyFont="1" applyBorder="1" applyAlignment="1">
      <alignment horizontal="center" wrapText="1"/>
    </xf>
    <xf numFmtId="0" fontId="12" fillId="0" borderId="0" xfId="0" applyFont="1" applyBorder="1" applyAlignment="1">
      <alignment horizontal="center" wrapText="1"/>
    </xf>
    <xf numFmtId="0" fontId="12" fillId="0" borderId="13" xfId="0" applyFont="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2" fillId="0" borderId="12" xfId="0" applyFont="1" applyBorder="1" applyAlignment="1">
      <alignment horizontal="center" wrapText="1"/>
    </xf>
    <xf numFmtId="0" fontId="12" fillId="38" borderId="23" xfId="0" applyFont="1" applyFill="1" applyBorder="1" applyAlignment="1">
      <alignment horizontal="left" wrapText="1"/>
    </xf>
    <xf numFmtId="0" fontId="12" fillId="38" borderId="20" xfId="0" applyFont="1" applyFill="1" applyBorder="1" applyAlignment="1">
      <alignment horizontal="left" wrapText="1"/>
    </xf>
    <xf numFmtId="0" fontId="12" fillId="38" borderId="12" xfId="0" applyFont="1" applyFill="1" applyBorder="1" applyAlignment="1">
      <alignment horizontal="left" wrapText="1"/>
    </xf>
    <xf numFmtId="0" fontId="11" fillId="35" borderId="21" xfId="0" applyFont="1" applyFill="1" applyBorder="1" applyAlignment="1">
      <alignment horizontal="center"/>
    </xf>
    <xf numFmtId="0" fontId="11" fillId="35" borderId="10" xfId="0" applyFont="1" applyFill="1" applyBorder="1" applyAlignment="1">
      <alignment horizontal="center"/>
    </xf>
    <xf numFmtId="0" fontId="11" fillId="35" borderId="24" xfId="0" applyFont="1" applyFill="1" applyBorder="1" applyAlignment="1">
      <alignment horizontal="center"/>
    </xf>
    <xf numFmtId="0" fontId="12" fillId="0" borderId="19" xfId="0" applyFont="1" applyBorder="1" applyAlignment="1">
      <alignment horizontal="left" vertical="center"/>
    </xf>
    <xf numFmtId="0" fontId="12" fillId="0" borderId="0" xfId="0" applyFont="1" applyAlignment="1">
      <alignment horizontal="left" vertical="center"/>
    </xf>
    <xf numFmtId="0" fontId="12" fillId="0" borderId="19" xfId="0" applyFont="1" applyBorder="1" applyAlignment="1">
      <alignment horizontal="left" vertical="center" wrapText="1"/>
    </xf>
    <xf numFmtId="0" fontId="12" fillId="0" borderId="0" xfId="0" applyFont="1" applyAlignment="1">
      <alignment horizontal="left"/>
    </xf>
    <xf numFmtId="0" fontId="12" fillId="0" borderId="0" xfId="0" applyFont="1" applyAlignment="1">
      <alignment horizontal="left" wrapText="1"/>
    </xf>
    <xf numFmtId="0" fontId="11" fillId="35" borderId="34" xfId="0" applyFont="1" applyFill="1" applyBorder="1" applyAlignment="1">
      <alignment horizontal="left"/>
    </xf>
    <xf numFmtId="0" fontId="11" fillId="35" borderId="11" xfId="0" applyFont="1" applyFill="1" applyBorder="1" applyAlignment="1">
      <alignment horizontal="left"/>
    </xf>
    <xf numFmtId="0" fontId="11" fillId="36" borderId="11" xfId="0" applyFont="1" applyFill="1" applyBorder="1" applyAlignment="1">
      <alignment horizontal="center"/>
    </xf>
    <xf numFmtId="0" fontId="116" fillId="0" borderId="21" xfId="0" applyFont="1" applyFill="1" applyBorder="1" applyAlignment="1">
      <alignment horizontal="center"/>
    </xf>
    <xf numFmtId="0" fontId="116" fillId="0" borderId="24" xfId="0" applyFont="1" applyFill="1" applyBorder="1" applyAlignment="1">
      <alignment horizontal="center"/>
    </xf>
    <xf numFmtId="0" fontId="46" fillId="37" borderId="15" xfId="0" applyFont="1" applyFill="1" applyBorder="1" applyAlignment="1">
      <alignment horizontal="center" vertical="center" wrapText="1"/>
    </xf>
    <xf numFmtId="0" fontId="46" fillId="37" borderId="19" xfId="0" applyFont="1" applyFill="1" applyBorder="1" applyAlignment="1">
      <alignment horizontal="center" vertical="center" wrapText="1"/>
    </xf>
    <xf numFmtId="0" fontId="46" fillId="37" borderId="23" xfId="0" applyFont="1" applyFill="1" applyBorder="1" applyAlignment="1">
      <alignment horizontal="center" vertical="center" wrapText="1"/>
    </xf>
    <xf numFmtId="0" fontId="46" fillId="37" borderId="20" xfId="0" applyFont="1" applyFill="1" applyBorder="1" applyAlignment="1">
      <alignment horizontal="center" vertical="center" wrapText="1"/>
    </xf>
    <xf numFmtId="0" fontId="11" fillId="35" borderId="25" xfId="0" applyFont="1" applyFill="1" applyBorder="1" applyAlignment="1">
      <alignment horizontal="center"/>
    </xf>
    <xf numFmtId="0" fontId="11" fillId="35" borderId="26" xfId="0" applyFont="1" applyFill="1" applyBorder="1" applyAlignment="1">
      <alignment horizontal="center"/>
    </xf>
    <xf numFmtId="0" fontId="11" fillId="35" borderId="38" xfId="0" applyFont="1" applyFill="1" applyBorder="1" applyAlignment="1">
      <alignment horizontal="center"/>
    </xf>
    <xf numFmtId="0" fontId="10" fillId="35" borderId="36"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32"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11" fillId="41" borderId="15" xfId="0" applyFont="1" applyFill="1" applyBorder="1" applyAlignment="1">
      <alignment horizontal="left" wrapText="1"/>
    </xf>
    <xf numFmtId="0" fontId="11" fillId="41" borderId="19" xfId="0" applyFont="1" applyFill="1" applyBorder="1" applyAlignment="1">
      <alignment horizontal="left" wrapText="1"/>
    </xf>
    <xf numFmtId="0" fontId="11" fillId="41" borderId="16" xfId="0" applyFont="1" applyFill="1" applyBorder="1" applyAlignment="1">
      <alignment horizontal="left" wrapText="1"/>
    </xf>
    <xf numFmtId="0" fontId="11" fillId="41" borderId="18" xfId="0" applyFont="1" applyFill="1" applyBorder="1" applyAlignment="1">
      <alignment horizontal="left" wrapText="1"/>
    </xf>
    <xf numFmtId="0" fontId="11" fillId="41" borderId="0" xfId="0" applyFont="1" applyFill="1" applyBorder="1" applyAlignment="1">
      <alignment horizontal="left" wrapText="1"/>
    </xf>
    <xf numFmtId="0" fontId="11" fillId="41" borderId="13" xfId="0" applyFont="1" applyFill="1" applyBorder="1" applyAlignment="1">
      <alignment horizontal="left" wrapText="1"/>
    </xf>
    <xf numFmtId="0" fontId="0" fillId="0" borderId="23" xfId="0" applyBorder="1" applyAlignment="1">
      <alignment wrapText="1"/>
    </xf>
    <xf numFmtId="0" fontId="0" fillId="0" borderId="20" xfId="0" applyBorder="1" applyAlignment="1">
      <alignment wrapText="1"/>
    </xf>
    <xf numFmtId="0" fontId="0" fillId="0" borderId="12" xfId="0" applyBorder="1" applyAlignment="1">
      <alignment wrapText="1"/>
    </xf>
    <xf numFmtId="0" fontId="11" fillId="36" borderId="21" xfId="0" applyFont="1" applyFill="1" applyBorder="1" applyAlignment="1">
      <alignment horizontal="center" wrapText="1"/>
    </xf>
    <xf numFmtId="0" fontId="11" fillId="36" borderId="10" xfId="0" applyFont="1" applyFill="1" applyBorder="1" applyAlignment="1">
      <alignment horizontal="center" wrapText="1"/>
    </xf>
    <xf numFmtId="0" fontId="11" fillId="36" borderId="24" xfId="0" applyFont="1" applyFill="1" applyBorder="1" applyAlignment="1">
      <alignment horizontal="center" wrapText="1"/>
    </xf>
    <xf numFmtId="0" fontId="11" fillId="35" borderId="39" xfId="0" applyFont="1" applyFill="1" applyBorder="1" applyAlignment="1">
      <alignment horizontal="left"/>
    </xf>
    <xf numFmtId="0" fontId="11" fillId="35" borderId="40" xfId="0" applyFont="1" applyFill="1" applyBorder="1" applyAlignment="1">
      <alignment horizontal="left"/>
    </xf>
    <xf numFmtId="0" fontId="11" fillId="36" borderId="21" xfId="0" applyFont="1" applyFill="1" applyBorder="1" applyAlignment="1">
      <alignment horizontal="center"/>
    </xf>
    <xf numFmtId="0" fontId="11" fillId="36" borderId="10" xfId="0" applyFont="1" applyFill="1" applyBorder="1" applyAlignment="1">
      <alignment horizontal="center"/>
    </xf>
    <xf numFmtId="0" fontId="11" fillId="36" borderId="24" xfId="0" applyFont="1" applyFill="1" applyBorder="1" applyAlignment="1">
      <alignment horizontal="center"/>
    </xf>
    <xf numFmtId="0" fontId="105" fillId="0" borderId="21" xfId="0" applyFont="1" applyBorder="1" applyAlignment="1">
      <alignment horizontal="center"/>
    </xf>
    <xf numFmtId="0" fontId="105" fillId="0" borderId="24" xfId="0" applyFont="1" applyBorder="1" applyAlignment="1">
      <alignment horizontal="center"/>
    </xf>
    <xf numFmtId="0" fontId="15" fillId="36" borderId="21" xfId="0" applyFont="1" applyFill="1" applyBorder="1" applyAlignment="1">
      <alignment horizontal="center" wrapText="1"/>
    </xf>
    <xf numFmtId="0" fontId="15" fillId="36" borderId="24" xfId="0" applyFont="1" applyFill="1" applyBorder="1" applyAlignment="1">
      <alignment horizontal="center" wrapText="1"/>
    </xf>
    <xf numFmtId="0" fontId="11" fillId="0" borderId="11" xfId="0" applyFont="1" applyBorder="1" applyAlignment="1">
      <alignment horizontal="left"/>
    </xf>
    <xf numFmtId="0" fontId="11" fillId="0" borderId="11" xfId="0" applyFont="1" applyBorder="1" applyAlignment="1">
      <alignment horizontal="left" wrapText="1"/>
    </xf>
    <xf numFmtId="3" fontId="11" fillId="0" borderId="19" xfId="0" applyNumberFormat="1" applyFont="1" applyFill="1" applyBorder="1" applyAlignment="1">
      <alignment horizontal="left" wrapText="1"/>
    </xf>
    <xf numFmtId="3" fontId="11" fillId="0" borderId="16" xfId="0" applyNumberFormat="1" applyFont="1" applyFill="1" applyBorder="1" applyAlignment="1">
      <alignment horizontal="left" wrapText="1"/>
    </xf>
    <xf numFmtId="3" fontId="11" fillId="0" borderId="0" xfId="0" applyNumberFormat="1" applyFont="1" applyFill="1" applyBorder="1" applyAlignment="1">
      <alignment horizontal="left" wrapText="1"/>
    </xf>
    <xf numFmtId="3" fontId="11" fillId="0" borderId="13" xfId="0" applyNumberFormat="1" applyFont="1" applyFill="1" applyBorder="1" applyAlignment="1">
      <alignment horizontal="left" wrapText="1"/>
    </xf>
    <xf numFmtId="3" fontId="11" fillId="0" borderId="20" xfId="0" applyNumberFormat="1" applyFont="1" applyFill="1" applyBorder="1" applyAlignment="1">
      <alignment horizontal="left" wrapText="1"/>
    </xf>
    <xf numFmtId="3" fontId="11" fillId="0" borderId="12" xfId="0" applyNumberFormat="1" applyFont="1" applyFill="1" applyBorder="1" applyAlignment="1">
      <alignment horizontal="left" wrapText="1"/>
    </xf>
    <xf numFmtId="0" fontId="11" fillId="0" borderId="15" xfId="0" applyFont="1" applyBorder="1" applyAlignment="1">
      <alignment horizontal="center" wrapText="1"/>
    </xf>
    <xf numFmtId="0" fontId="11" fillId="0" borderId="19" xfId="0" applyFont="1" applyBorder="1" applyAlignment="1">
      <alignment horizontal="center" wrapText="1"/>
    </xf>
    <xf numFmtId="0" fontId="11" fillId="0" borderId="16" xfId="0" applyFont="1" applyBorder="1" applyAlignment="1">
      <alignment horizontal="center" wrapText="1"/>
    </xf>
    <xf numFmtId="0" fontId="11" fillId="0" borderId="23" xfId="0" applyFont="1" applyBorder="1" applyAlignment="1">
      <alignment horizontal="center" wrapText="1"/>
    </xf>
    <xf numFmtId="0" fontId="11" fillId="0" borderId="20" xfId="0" applyFont="1" applyBorder="1" applyAlignment="1">
      <alignment horizontal="center" wrapText="1"/>
    </xf>
    <xf numFmtId="0" fontId="11" fillId="0" borderId="12" xfId="0" applyFont="1" applyBorder="1" applyAlignment="1">
      <alignment horizontal="center" wrapText="1"/>
    </xf>
    <xf numFmtId="0" fontId="108" fillId="0" borderId="18" xfId="0" applyFont="1" applyFill="1" applyBorder="1" applyAlignment="1">
      <alignment horizontal="right"/>
    </xf>
    <xf numFmtId="0" fontId="108" fillId="0" borderId="0" xfId="0" applyFont="1" applyFill="1" applyBorder="1" applyAlignment="1">
      <alignment horizontal="right"/>
    </xf>
    <xf numFmtId="0" fontId="108" fillId="0" borderId="23" xfId="0" applyFont="1" applyFill="1" applyBorder="1" applyAlignment="1">
      <alignment horizontal="right"/>
    </xf>
    <xf numFmtId="0" fontId="108" fillId="0" borderId="20" xfId="0" applyFont="1" applyFill="1" applyBorder="1" applyAlignment="1">
      <alignment horizontal="right"/>
    </xf>
    <xf numFmtId="0" fontId="108" fillId="0" borderId="21" xfId="0" applyFont="1" applyBorder="1" applyAlignment="1">
      <alignment horizontal="center"/>
    </xf>
    <xf numFmtId="0" fontId="108" fillId="0" borderId="10" xfId="0" applyFont="1" applyBorder="1" applyAlignment="1">
      <alignment horizontal="center"/>
    </xf>
    <xf numFmtId="0" fontId="108" fillId="0" borderId="24" xfId="0" applyFont="1" applyBorder="1" applyAlignment="1">
      <alignment horizontal="center"/>
    </xf>
    <xf numFmtId="0" fontId="108" fillId="0" borderId="23" xfId="0" applyFont="1" applyBorder="1" applyAlignment="1">
      <alignment horizontal="right"/>
    </xf>
    <xf numFmtId="0" fontId="108" fillId="0" borderId="20" xfId="0" applyFont="1" applyBorder="1" applyAlignment="1">
      <alignment horizontal="right"/>
    </xf>
    <xf numFmtId="0" fontId="117" fillId="40" borderId="21" xfId="0" applyFont="1" applyFill="1" applyBorder="1" applyAlignment="1">
      <alignment horizontal="center"/>
    </xf>
    <xf numFmtId="0" fontId="117" fillId="40" borderId="10" xfId="0" applyFont="1" applyFill="1" applyBorder="1" applyAlignment="1">
      <alignment horizontal="center"/>
    </xf>
    <xf numFmtId="0" fontId="108" fillId="0" borderId="15" xfId="0" applyFont="1" applyBorder="1" applyAlignment="1">
      <alignment horizontal="center"/>
    </xf>
    <xf numFmtId="0" fontId="108" fillId="0" borderId="19" xfId="0" applyFont="1" applyBorder="1" applyAlignment="1">
      <alignment horizontal="center"/>
    </xf>
    <xf numFmtId="0" fontId="108" fillId="0" borderId="16" xfId="0" applyFont="1" applyBorder="1" applyAlignment="1">
      <alignment horizontal="center"/>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08" fillId="0" borderId="21" xfId="0" applyFont="1" applyFill="1" applyBorder="1" applyAlignment="1">
      <alignment horizontal="center"/>
    </xf>
    <xf numFmtId="0" fontId="108" fillId="0" borderId="10" xfId="0" applyFont="1" applyFill="1" applyBorder="1" applyAlignment="1">
      <alignment horizontal="center"/>
    </xf>
    <xf numFmtId="0" fontId="108" fillId="0" borderId="24" xfId="0" applyFont="1" applyFill="1" applyBorder="1" applyAlignment="1">
      <alignment horizontal="center"/>
    </xf>
    <xf numFmtId="0" fontId="106" fillId="0" borderId="15" xfId="0" applyFont="1" applyBorder="1" applyAlignment="1">
      <alignment horizontal="center" wrapText="1"/>
    </xf>
    <xf numFmtId="0" fontId="106" fillId="0" borderId="19" xfId="0" applyFont="1" applyBorder="1" applyAlignment="1">
      <alignment horizontal="center" wrapText="1"/>
    </xf>
    <xf numFmtId="0" fontId="106" fillId="0" borderId="16" xfId="0" applyFont="1" applyBorder="1" applyAlignment="1">
      <alignment horizontal="center" wrapText="1"/>
    </xf>
    <xf numFmtId="0" fontId="106" fillId="0" borderId="23" xfId="0" applyFont="1" applyBorder="1" applyAlignment="1">
      <alignment horizontal="center" wrapText="1"/>
    </xf>
    <xf numFmtId="0" fontId="106" fillId="0" borderId="20" xfId="0" applyFont="1" applyBorder="1" applyAlignment="1">
      <alignment horizontal="center" wrapText="1"/>
    </xf>
    <xf numFmtId="0" fontId="106" fillId="0" borderId="12" xfId="0" applyFont="1" applyBorder="1" applyAlignment="1">
      <alignment horizontal="center" wrapText="1"/>
    </xf>
    <xf numFmtId="0" fontId="108" fillId="0" borderId="18" xfId="0" applyFont="1" applyBorder="1" applyAlignment="1">
      <alignment horizontal="right"/>
    </xf>
    <xf numFmtId="0" fontId="108" fillId="0" borderId="0" xfId="0" applyFont="1" applyBorder="1" applyAlignment="1">
      <alignment horizontal="right"/>
    </xf>
    <xf numFmtId="167" fontId="53" fillId="0" borderId="0" xfId="46" applyNumberFormat="1" applyFont="1" applyBorder="1" applyAlignment="1">
      <alignment horizontal="left" vertical="center"/>
    </xf>
    <xf numFmtId="167" fontId="53" fillId="0" borderId="13" xfId="46" applyNumberFormat="1" applyFont="1" applyBorder="1" applyAlignment="1">
      <alignment horizontal="left" vertical="center"/>
    </xf>
    <xf numFmtId="0" fontId="7" fillId="34" borderId="21"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1" xfId="0" applyNumberFormat="1" applyFont="1" applyFill="1" applyBorder="1" applyAlignment="1">
      <alignment horizontal="center" vertical="center" wrapText="1"/>
    </xf>
    <xf numFmtId="0" fontId="29" fillId="34" borderId="10" xfId="0" applyNumberFormat="1" applyFont="1" applyFill="1" applyBorder="1" applyAlignment="1">
      <alignment horizontal="center" vertical="center" wrapText="1"/>
    </xf>
    <xf numFmtId="0" fontId="29" fillId="34" borderId="24" xfId="0" applyNumberFormat="1" applyFont="1" applyFill="1" applyBorder="1" applyAlignment="1">
      <alignment horizontal="center" vertical="center" wrapText="1"/>
    </xf>
    <xf numFmtId="0" fontId="10" fillId="34" borderId="0" xfId="0" applyFont="1" applyFill="1" applyBorder="1" applyAlignment="1">
      <alignment horizontal="center" vertical="center"/>
    </xf>
    <xf numFmtId="0" fontId="7" fillId="34" borderId="32" xfId="0" applyFont="1" applyFill="1" applyBorder="1" applyAlignment="1">
      <alignment horizontal="center" vertical="center"/>
    </xf>
    <xf numFmtId="0" fontId="113" fillId="0" borderId="21" xfId="46" applyFont="1" applyBorder="1" applyAlignment="1">
      <alignment horizontal="center" vertical="center"/>
    </xf>
    <xf numFmtId="0" fontId="113" fillId="0" borderId="24" xfId="46" applyFont="1" applyBorder="1" applyAlignment="1">
      <alignment horizontal="center" vertical="center"/>
    </xf>
    <xf numFmtId="0" fontId="15" fillId="33" borderId="0" xfId="0" applyFont="1" applyFill="1" applyBorder="1" applyAlignment="1">
      <alignment vertical="center"/>
    </xf>
    <xf numFmtId="0" fontId="39" fillId="33" borderId="0" xfId="0" applyFont="1" applyFill="1" applyBorder="1" applyAlignment="1">
      <alignment vertical="center"/>
    </xf>
    <xf numFmtId="0" fontId="28" fillId="34" borderId="21" xfId="0" applyFont="1" applyFill="1" applyBorder="1" applyAlignment="1">
      <alignment horizontal="center" vertical="center"/>
    </xf>
    <xf numFmtId="0" fontId="28" fillId="34" borderId="10" xfId="0" applyFont="1" applyFill="1" applyBorder="1" applyAlignment="1">
      <alignment horizontal="center" vertical="center"/>
    </xf>
    <xf numFmtId="0" fontId="15" fillId="33" borderId="21" xfId="0" applyFont="1" applyFill="1" applyBorder="1" applyAlignment="1">
      <alignment vertical="center"/>
    </xf>
    <xf numFmtId="0" fontId="39" fillId="33" borderId="10" xfId="0" applyFont="1" applyFill="1" applyBorder="1" applyAlignment="1">
      <alignment vertical="center"/>
    </xf>
    <xf numFmtId="0" fontId="10" fillId="34" borderId="32" xfId="0" applyFont="1" applyFill="1" applyBorder="1" applyAlignment="1">
      <alignment horizontal="center" vertical="center"/>
    </xf>
    <xf numFmtId="0" fontId="2" fillId="0" borderId="21" xfId="0" applyFont="1" applyBorder="1" applyAlignment="1">
      <alignment horizontal="center" vertical="center"/>
    </xf>
    <xf numFmtId="0" fontId="0" fillId="0" borderId="12" xfId="0" applyBorder="1" applyAlignment="1">
      <alignment horizontal="center" vertical="center"/>
    </xf>
    <xf numFmtId="0" fontId="6" fillId="33" borderId="0" xfId="0" applyFont="1" applyFill="1" applyBorder="1" applyAlignment="1">
      <alignment vertical="center"/>
    </xf>
    <xf numFmtId="0" fontId="28" fillId="34" borderId="24"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3" xfId="0" applyFill="1" applyBorder="1" applyAlignment="1">
      <alignment horizontal="center" vertical="center" wrapText="1"/>
    </xf>
    <xf numFmtId="0" fontId="0" fillId="19" borderId="11" xfId="0" applyFill="1" applyBorder="1" applyAlignment="1">
      <alignment horizontal="center" vertical="center" wrapText="1"/>
    </xf>
    <xf numFmtId="0" fontId="10" fillId="34" borderId="0" xfId="0" applyFont="1" applyFill="1" applyBorder="1" applyAlignment="1">
      <alignment horizontal="center"/>
    </xf>
    <xf numFmtId="0" fontId="10" fillId="34" borderId="32" xfId="0" applyFont="1" applyFill="1" applyBorder="1" applyAlignment="1">
      <alignment horizontal="center"/>
    </xf>
    <xf numFmtId="0" fontId="28" fillId="34" borderId="21" xfId="0" applyFont="1" applyFill="1" applyBorder="1" applyAlignment="1">
      <alignment horizontal="center"/>
    </xf>
    <xf numFmtId="0" fontId="41" fillId="34" borderId="24" xfId="0" applyFont="1" applyFill="1" applyBorder="1" applyAlignment="1">
      <alignment horizontal="center"/>
    </xf>
    <xf numFmtId="0" fontId="101" fillId="0" borderId="21" xfId="0" applyFont="1" applyBorder="1" applyAlignment="1">
      <alignment horizontal="center" vertical="center"/>
    </xf>
    <xf numFmtId="0" fontId="101" fillId="0" borderId="24" xfId="0" applyFont="1" applyBorder="1" applyAlignment="1">
      <alignment horizontal="center" vertical="center"/>
    </xf>
    <xf numFmtId="0" fontId="32" fillId="34" borderId="32" xfId="57" applyNumberFormat="1" applyFont="1" applyFill="1" applyBorder="1" applyAlignment="1">
      <alignment horizontal="center" vertical="center"/>
      <protection/>
    </xf>
    <xf numFmtId="0" fontId="15" fillId="0" borderId="21" xfId="57" applyFont="1" applyBorder="1" applyAlignment="1">
      <alignment horizontal="left" vertical="center"/>
      <protection/>
    </xf>
    <xf numFmtId="0" fontId="15" fillId="0" borderId="10" xfId="57" applyFont="1" applyBorder="1" applyAlignment="1">
      <alignment horizontal="left" vertical="center"/>
      <protection/>
    </xf>
    <xf numFmtId="0" fontId="15" fillId="0" borderId="24" xfId="57" applyFont="1" applyBorder="1" applyAlignment="1">
      <alignment horizontal="left" vertical="center"/>
      <protection/>
    </xf>
    <xf numFmtId="0" fontId="15" fillId="0" borderId="21" xfId="57" applyNumberFormat="1" applyFont="1" applyFill="1" applyBorder="1" applyAlignment="1">
      <alignment horizontal="left" vertical="center"/>
      <protection/>
    </xf>
    <xf numFmtId="0" fontId="15" fillId="0" borderId="10" xfId="57" applyNumberFormat="1" applyFont="1" applyFill="1" applyBorder="1" applyAlignment="1">
      <alignment horizontal="left" vertical="center"/>
      <protection/>
    </xf>
    <xf numFmtId="0" fontId="15" fillId="0" borderId="24" xfId="57" applyNumberFormat="1" applyFont="1" applyFill="1" applyBorder="1" applyAlignment="1">
      <alignment horizontal="left" vertical="center"/>
      <protection/>
    </xf>
    <xf numFmtId="0" fontId="28" fillId="34" borderId="21" xfId="57" applyNumberFormat="1" applyFont="1" applyFill="1" applyBorder="1" applyAlignment="1">
      <alignment horizontal="center" vertical="center"/>
      <protection/>
    </xf>
    <xf numFmtId="0" fontId="28" fillId="34" borderId="10" xfId="57" applyNumberFormat="1" applyFont="1" applyFill="1" applyBorder="1" applyAlignment="1">
      <alignment horizontal="center" vertical="center"/>
      <protection/>
    </xf>
    <xf numFmtId="0" fontId="28" fillId="34" borderId="24" xfId="57" applyNumberFormat="1" applyFont="1" applyFill="1" applyBorder="1" applyAlignment="1">
      <alignment horizontal="center" vertical="center"/>
      <protection/>
    </xf>
    <xf numFmtId="0" fontId="113" fillId="0" borderId="21" xfId="46" applyNumberFormat="1" applyFont="1" applyFill="1" applyBorder="1" applyAlignment="1">
      <alignment horizontal="center" vertical="center"/>
    </xf>
    <xf numFmtId="0" fontId="113" fillId="0" borderId="10" xfId="46" applyNumberFormat="1" applyFont="1" applyFill="1" applyBorder="1" applyAlignment="1">
      <alignment horizontal="center" vertical="center"/>
    </xf>
    <xf numFmtId="0" fontId="113" fillId="0" borderId="24" xfId="46" applyNumberFormat="1" applyFont="1" applyFill="1" applyBorder="1" applyAlignment="1">
      <alignment horizontal="center" vertical="center"/>
    </xf>
    <xf numFmtId="0" fontId="15" fillId="0" borderId="19" xfId="57" applyNumberFormat="1" applyFont="1" applyFill="1" applyBorder="1" applyAlignment="1">
      <alignment horizontal="center" vertical="center"/>
      <protection/>
    </xf>
    <xf numFmtId="0" fontId="15" fillId="0" borderId="16" xfId="57" applyNumberFormat="1" applyFont="1" applyFill="1" applyBorder="1" applyAlignment="1">
      <alignment horizontal="center" vertical="center"/>
      <protection/>
    </xf>
    <xf numFmtId="0" fontId="28" fillId="34" borderId="21" xfId="57" applyFont="1" applyFill="1" applyBorder="1" applyAlignment="1">
      <alignment horizontal="center" vertical="center"/>
      <protection/>
    </xf>
    <xf numFmtId="0" fontId="28" fillId="34" borderId="10" xfId="57" applyFont="1" applyFill="1" applyBorder="1" applyAlignment="1">
      <alignment horizontal="center" vertical="center"/>
      <protection/>
    </xf>
    <xf numFmtId="0" fontId="28" fillId="34" borderId="24" xfId="57" applyFont="1" applyFill="1" applyBorder="1" applyAlignment="1">
      <alignment horizontal="center" vertical="center"/>
      <protection/>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10" xfId="0" applyFont="1" applyBorder="1" applyAlignment="1">
      <alignment horizontal="center" vertical="center"/>
    </xf>
    <xf numFmtId="0" fontId="0" fillId="0" borderId="24" xfId="0" applyBorder="1" applyAlignment="1">
      <alignment vertical="center"/>
    </xf>
    <xf numFmtId="0" fontId="113" fillId="0" borderId="15" xfId="46" applyFont="1" applyBorder="1" applyAlignment="1">
      <alignment horizontal="center" vertical="center"/>
    </xf>
    <xf numFmtId="0" fontId="113" fillId="0" borderId="16" xfId="46" applyFont="1" applyBorder="1" applyAlignment="1">
      <alignment horizontal="center" vertical="center"/>
    </xf>
    <xf numFmtId="0" fontId="6" fillId="0" borderId="11" xfId="0" applyFont="1" applyBorder="1" applyAlignment="1">
      <alignment horizontal="center" vertical="center" wrapText="1"/>
    </xf>
    <xf numFmtId="0" fontId="28" fillId="34" borderId="21"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8" fillId="34" borderId="24" xfId="0" applyFont="1" applyFill="1" applyBorder="1" applyAlignment="1">
      <alignment horizontal="center" vertical="center" wrapText="1"/>
    </xf>
    <xf numFmtId="0" fontId="10" fillId="34" borderId="0" xfId="0" applyFont="1" applyFill="1" applyBorder="1" applyAlignment="1">
      <alignment horizontal="center" vertical="center"/>
    </xf>
    <xf numFmtId="0" fontId="10" fillId="34" borderId="32" xfId="0" applyFont="1" applyFill="1" applyBorder="1" applyAlignment="1">
      <alignment horizontal="center" vertical="center"/>
    </xf>
    <xf numFmtId="0" fontId="34" fillId="0" borderId="21" xfId="46" applyFont="1" applyBorder="1" applyAlignment="1">
      <alignment horizontal="center" vertical="center"/>
    </xf>
    <xf numFmtId="0" fontId="34" fillId="0" borderId="24" xfId="46" applyFont="1" applyBorder="1" applyAlignment="1">
      <alignment horizontal="center" vertical="center"/>
    </xf>
    <xf numFmtId="0" fontId="7" fillId="34" borderId="21" xfId="0" applyFont="1" applyFill="1" applyBorder="1" applyAlignment="1">
      <alignment horizontal="center" vertical="center"/>
    </xf>
    <xf numFmtId="0" fontId="10" fillId="34" borderId="25" xfId="0" applyFont="1" applyFill="1" applyBorder="1" applyAlignment="1">
      <alignment horizontal="center" vertical="center"/>
    </xf>
    <xf numFmtId="0" fontId="10" fillId="34" borderId="26" xfId="0" applyFont="1" applyFill="1" applyBorder="1" applyAlignment="1">
      <alignment horizontal="center" vertical="center"/>
    </xf>
    <xf numFmtId="0" fontId="10" fillId="34" borderId="27" xfId="0" applyFont="1" applyFill="1" applyBorder="1" applyAlignment="1">
      <alignment horizontal="center" vertical="center"/>
    </xf>
    <xf numFmtId="0" fontId="11" fillId="0" borderId="11" xfId="0" applyFont="1" applyFill="1" applyBorder="1" applyAlignment="1">
      <alignment horizontal="center"/>
    </xf>
    <xf numFmtId="0" fontId="10" fillId="34" borderId="36" xfId="0" applyFont="1" applyFill="1" applyBorder="1" applyAlignment="1">
      <alignment horizontal="center"/>
    </xf>
    <xf numFmtId="0" fontId="10" fillId="34" borderId="37" xfId="0" applyFont="1" applyFill="1" applyBorder="1" applyAlignment="1">
      <alignment horizontal="center"/>
    </xf>
    <xf numFmtId="0" fontId="10" fillId="34" borderId="35" xfId="0" applyFont="1" applyFill="1" applyBorder="1" applyAlignment="1">
      <alignment horizontal="center"/>
    </xf>
    <xf numFmtId="0" fontId="10" fillId="34" borderId="31" xfId="0" applyFont="1" applyFill="1" applyBorder="1" applyAlignment="1">
      <alignment horizontal="center"/>
    </xf>
    <xf numFmtId="0" fontId="10" fillId="34" borderId="33" xfId="0" applyFont="1" applyFill="1" applyBorder="1" applyAlignment="1">
      <alignment horizontal="center"/>
    </xf>
    <xf numFmtId="0" fontId="43" fillId="34" borderId="15" xfId="0" applyFont="1" applyFill="1" applyBorder="1" applyAlignment="1">
      <alignment horizontal="center" vertical="center"/>
    </xf>
    <xf numFmtId="0" fontId="43" fillId="34" borderId="19" xfId="0" applyFont="1" applyFill="1" applyBorder="1" applyAlignment="1">
      <alignment horizontal="center" vertical="center"/>
    </xf>
    <xf numFmtId="0" fontId="43" fillId="34" borderId="16" xfId="0" applyFont="1" applyFill="1" applyBorder="1" applyAlignment="1">
      <alignment horizontal="center" vertical="center"/>
    </xf>
    <xf numFmtId="0" fontId="43" fillId="34" borderId="23" xfId="0" applyFont="1" applyFill="1" applyBorder="1" applyAlignment="1">
      <alignment horizontal="center" vertical="center"/>
    </xf>
    <xf numFmtId="0" fontId="43" fillId="34" borderId="20" xfId="0" applyFont="1" applyFill="1" applyBorder="1" applyAlignment="1">
      <alignment horizontal="center" vertical="center"/>
    </xf>
    <xf numFmtId="0" fontId="43" fillId="34" borderId="12" xfId="0" applyFont="1" applyFill="1" applyBorder="1" applyAlignment="1">
      <alignment horizontal="center" vertical="center"/>
    </xf>
    <xf numFmtId="0" fontId="38" fillId="34" borderId="15" xfId="0" applyFont="1" applyFill="1" applyBorder="1" applyAlignment="1">
      <alignment horizontal="center" vertical="center"/>
    </xf>
    <xf numFmtId="0" fontId="38" fillId="34" borderId="19" xfId="0" applyFont="1" applyFill="1" applyBorder="1" applyAlignment="1">
      <alignment horizontal="center" vertical="center"/>
    </xf>
    <xf numFmtId="0" fontId="38" fillId="34" borderId="16" xfId="0" applyFont="1" applyFill="1" applyBorder="1" applyAlignment="1">
      <alignment horizontal="center" vertical="center"/>
    </xf>
    <xf numFmtId="0" fontId="38" fillId="34" borderId="23" xfId="0" applyFont="1" applyFill="1" applyBorder="1" applyAlignment="1">
      <alignment horizontal="center" vertical="center"/>
    </xf>
    <xf numFmtId="0" fontId="38" fillId="34" borderId="20" xfId="0" applyFont="1" applyFill="1" applyBorder="1" applyAlignment="1">
      <alignment horizontal="center" vertical="center"/>
    </xf>
    <xf numFmtId="0" fontId="38" fillId="34" borderId="1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opy of final plastic bag2.xls" xfId="56"/>
    <cellStyle name="Normal_Lonny's trash trucks CO2.xl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9900"/>
      <rgbColor rgb="00FF99CC"/>
      <rgbColor rgb="00CC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'Production Emissions'!$A$25</c:f>
        </c:strRef>
      </c:tx>
      <c:layout>
        <c:manualLayout>
          <c:xMode val="factor"/>
          <c:yMode val="factor"/>
          <c:x val="-0.00225"/>
          <c:y val="-0.012"/>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8025"/>
          <c:y val="0.145"/>
          <c:w val="0.5615"/>
          <c:h val="0.85275"/>
        </c:manualLayout>
      </c:layout>
      <c:barChart>
        <c:barDir val="col"/>
        <c:grouping val="stacked"/>
        <c:varyColors val="0"/>
        <c:ser>
          <c:idx val="0"/>
          <c:order val="0"/>
          <c:tx>
            <c:strRef>
              <c:f>'Production Emissions'!$A$9</c:f>
              <c:strCache>
                <c:ptCount val="1"/>
                <c:pt idx="0">
                  <c:v>Feedstock Energy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Emissions'!$B$9</c:f>
              <c:numCache>
                <c:ptCount val="1"/>
                <c:pt idx="0">
                  <c:v>1820608.0785630045</c:v>
                </c:pt>
              </c:numCache>
            </c:numRef>
          </c:val>
        </c:ser>
        <c:ser>
          <c:idx val="1"/>
          <c:order val="1"/>
          <c:tx>
            <c:strRef>
              <c:f>'Production Emissions'!$A$10</c:f>
              <c:strCache>
                <c:ptCount val="1"/>
                <c:pt idx="0">
                  <c:v>Bag Manufacture Energy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Emissions'!$B$10</c:f>
              <c:numCache>
                <c:ptCount val="1"/>
                <c:pt idx="0">
                  <c:v>333077.9461126735</c:v>
                </c:pt>
              </c:numCache>
            </c:numRef>
          </c:val>
        </c:ser>
        <c:ser>
          <c:idx val="2"/>
          <c:order val="2"/>
          <c:tx>
            <c:strRef>
              <c:f>'Production Emissions'!$A$11</c:f>
              <c:strCache>
                <c:ptCount val="1"/>
                <c:pt idx="0">
                  <c:v>Import Transportation Energy</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Emissions'!$B$11</c:f>
              <c:numCache>
                <c:ptCount val="1"/>
                <c:pt idx="0">
                  <c:v>44273.52581783143</c:v>
                </c:pt>
              </c:numCache>
            </c:numRef>
          </c:val>
        </c:ser>
        <c:ser>
          <c:idx val="3"/>
          <c:order val="3"/>
          <c:tx>
            <c:strRef>
              <c:f>'Production Emissions'!$A$12</c:f>
              <c:strCache>
                <c:ptCount val="1"/>
                <c:pt idx="0">
                  <c:v>Disposal Transportation Energy</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Emissions'!$B$12</c:f>
              <c:numCache>
                <c:ptCount val="1"/>
                <c:pt idx="0">
                  <c:v>11366.655465580954</c:v>
                </c:pt>
              </c:numCache>
            </c:numRef>
          </c:val>
        </c:ser>
        <c:overlap val="100"/>
        <c:axId val="15600960"/>
        <c:axId val="6190913"/>
      </c:barChart>
      <c:catAx>
        <c:axId val="15600960"/>
        <c:scaling>
          <c:orientation val="minMax"/>
        </c:scaling>
        <c:axPos val="b"/>
        <c:delete val="1"/>
        <c:majorTickMark val="out"/>
        <c:minorTickMark val="none"/>
        <c:tickLblPos val="none"/>
        <c:crossAx val="6190913"/>
        <c:crosses val="autoZero"/>
        <c:auto val="1"/>
        <c:lblOffset val="100"/>
        <c:tickLblSkip val="1"/>
        <c:noMultiLvlLbl val="0"/>
      </c:catAx>
      <c:valAx>
        <c:axId val="6190913"/>
        <c:scaling>
          <c:orientation val="minMax"/>
          <c:min val="0"/>
        </c:scaling>
        <c:axPos val="l"/>
        <c:title>
          <c:tx>
            <c:rich>
              <a:bodyPr vert="horz" rot="-5400000" anchor="ctr"/>
              <a:lstStyle/>
              <a:p>
                <a:pPr algn="ctr">
                  <a:defRPr/>
                </a:pPr>
                <a:r>
                  <a:rPr lang="en-US" cap="none" sz="1000" b="0" i="0" u="none" baseline="0">
                    <a:solidFill>
                      <a:srgbClr val="000000"/>
                    </a:solidFill>
                  </a:rPr>
                  <a:t>MJ</a:t>
                </a:r>
              </a:p>
            </c:rich>
          </c:tx>
          <c:layout>
            <c:manualLayout>
              <c:xMode val="factor"/>
              <c:yMode val="factor"/>
              <c:x val="-0.001"/>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00960"/>
        <c:crossesAt val="1"/>
        <c:crossBetween val="between"/>
        <c:dispUnits/>
      </c:valAx>
      <c:spPr>
        <a:solidFill>
          <a:srgbClr val="FFFFFF"/>
        </a:solidFill>
        <a:ln w="3175">
          <a:noFill/>
        </a:ln>
      </c:spPr>
    </c:plotArea>
    <c:legend>
      <c:legendPos val="r"/>
      <c:layout>
        <c:manualLayout>
          <c:xMode val="edge"/>
          <c:yMode val="edge"/>
          <c:x val="0.6755"/>
          <c:y val="0.34825"/>
          <c:w val="0.31375"/>
          <c:h val="0.443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23</xdr:row>
      <xdr:rowOff>104775</xdr:rowOff>
    </xdr:from>
    <xdr:to>
      <xdr:col>13</xdr:col>
      <xdr:colOff>714375</xdr:colOff>
      <xdr:row>40</xdr:row>
      <xdr:rowOff>142875</xdr:rowOff>
    </xdr:to>
    <xdr:graphicFrame>
      <xdr:nvGraphicFramePr>
        <xdr:cNvPr id="1" name="Chart 7"/>
        <xdr:cNvGraphicFramePr/>
      </xdr:nvGraphicFramePr>
      <xdr:xfrm>
        <a:off x="7448550" y="4486275"/>
        <a:ext cx="4448175" cy="3276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cmf101\LOCALS~1\Temp\The%20Final%20Bag%20Sheet%20Danielle%20Sun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User Interface"/>
      <sheetName val="Trips, Weight, Volume"/>
      <sheetName val="Ports and Distributors"/>
      <sheetName val="Import - Fuel Used"/>
      <sheetName val="Disposal - Fuel  Used"/>
      <sheetName val="Transport Emissions"/>
      <sheetName val="Production Energy"/>
      <sheetName val="Grid Mix"/>
      <sheetName val="Production Emissions"/>
    </sheetNames>
    <sheetDataSet>
      <sheetData sheetId="8">
        <row r="5">
          <cell r="A5" t="str">
            <v>California</v>
          </cell>
        </row>
        <row r="6">
          <cell r="A6" t="str">
            <v>China</v>
          </cell>
        </row>
        <row r="7">
          <cell r="A7" t="str">
            <v>Oregon</v>
          </cell>
        </row>
        <row r="8">
          <cell r="A8" t="str">
            <v>User Defined A</v>
          </cell>
        </row>
        <row r="9">
          <cell r="A9" t="str">
            <v>User Defined B</v>
          </cell>
        </row>
        <row r="10">
          <cell r="A10" t="str">
            <v>Vietnam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I51"/>
  <sheetViews>
    <sheetView tabSelected="1" zoomScale="85" zoomScaleNormal="85" zoomScalePageLayoutView="0" workbookViewId="0" topLeftCell="A1">
      <selection activeCell="A26" sqref="A26:H28"/>
    </sheetView>
  </sheetViews>
  <sheetFormatPr defaultColWidth="11.00390625" defaultRowHeight="12.75"/>
  <sheetData>
    <row r="1" spans="1:8" ht="12.75" customHeight="1">
      <c r="A1" s="559" t="s">
        <v>162</v>
      </c>
      <c r="B1" s="560"/>
      <c r="C1" s="560"/>
      <c r="D1" s="560"/>
      <c r="E1" s="560"/>
      <c r="F1" s="560"/>
      <c r="G1" s="560"/>
      <c r="H1" s="561"/>
    </row>
    <row r="2" spans="1:8" ht="30.75" customHeight="1" thickBot="1">
      <c r="A2" s="562"/>
      <c r="B2" s="563"/>
      <c r="C2" s="563"/>
      <c r="D2" s="563"/>
      <c r="E2" s="563"/>
      <c r="F2" s="563"/>
      <c r="G2" s="563"/>
      <c r="H2" s="564"/>
    </row>
    <row r="3" spans="1:6" ht="14.25">
      <c r="A3" s="5"/>
      <c r="B3" s="5"/>
      <c r="C3" s="5"/>
      <c r="D3" s="5"/>
      <c r="E3" s="5"/>
      <c r="F3" s="5"/>
    </row>
    <row r="4" spans="1:6" ht="14.25">
      <c r="A4" s="5"/>
      <c r="B4" s="5"/>
      <c r="C4" s="5"/>
      <c r="D4" s="5"/>
      <c r="E4" s="5"/>
      <c r="F4" s="5"/>
    </row>
    <row r="5" spans="1:6" ht="15">
      <c r="A5" s="10" t="s">
        <v>160</v>
      </c>
      <c r="B5" s="5"/>
      <c r="C5" s="5"/>
      <c r="D5" s="5"/>
      <c r="E5" s="5"/>
      <c r="F5" s="5"/>
    </row>
    <row r="6" spans="1:9" ht="14.25" customHeight="1">
      <c r="A6" s="553" t="s">
        <v>257</v>
      </c>
      <c r="B6" s="554"/>
      <c r="C6" s="554"/>
      <c r="D6" s="554"/>
      <c r="E6" s="554"/>
      <c r="F6" s="554"/>
      <c r="G6" s="554"/>
      <c r="H6" s="555"/>
      <c r="I6" s="7"/>
    </row>
    <row r="7" spans="1:9" ht="14.25" customHeight="1">
      <c r="A7" s="556"/>
      <c r="B7" s="557"/>
      <c r="C7" s="557"/>
      <c r="D7" s="557"/>
      <c r="E7" s="557"/>
      <c r="F7" s="557"/>
      <c r="G7" s="557"/>
      <c r="H7" s="558"/>
      <c r="I7" s="7"/>
    </row>
    <row r="8" spans="1:9" ht="14.25" customHeight="1">
      <c r="A8" s="556"/>
      <c r="B8" s="557"/>
      <c r="C8" s="557"/>
      <c r="D8" s="557"/>
      <c r="E8" s="557"/>
      <c r="F8" s="557"/>
      <c r="G8" s="557"/>
      <c r="H8" s="558"/>
      <c r="I8" s="7"/>
    </row>
    <row r="9" spans="1:9" ht="14.25" customHeight="1">
      <c r="A9" s="556"/>
      <c r="B9" s="557"/>
      <c r="C9" s="557"/>
      <c r="D9" s="557"/>
      <c r="E9" s="557"/>
      <c r="F9" s="557"/>
      <c r="G9" s="557"/>
      <c r="H9" s="558"/>
      <c r="I9" s="7"/>
    </row>
    <row r="10" spans="1:9" ht="14.25" customHeight="1">
      <c r="A10" s="556"/>
      <c r="B10" s="557"/>
      <c r="C10" s="557"/>
      <c r="D10" s="557"/>
      <c r="E10" s="557"/>
      <c r="F10" s="557"/>
      <c r="G10" s="557"/>
      <c r="H10" s="558"/>
      <c r="I10" s="7"/>
    </row>
    <row r="11" spans="1:9" ht="14.25" customHeight="1">
      <c r="A11" s="556"/>
      <c r="B11" s="557"/>
      <c r="C11" s="557"/>
      <c r="D11" s="557"/>
      <c r="E11" s="557"/>
      <c r="F11" s="557"/>
      <c r="G11" s="557"/>
      <c r="H11" s="558"/>
      <c r="I11" s="7"/>
    </row>
    <row r="12" spans="1:9" ht="14.25" customHeight="1">
      <c r="A12" s="556"/>
      <c r="B12" s="557"/>
      <c r="C12" s="557"/>
      <c r="D12" s="557"/>
      <c r="E12" s="557"/>
      <c r="F12" s="557"/>
      <c r="G12" s="557"/>
      <c r="H12" s="558"/>
      <c r="I12" s="7"/>
    </row>
    <row r="13" spans="1:9" ht="14.25" customHeight="1">
      <c r="A13" s="556"/>
      <c r="B13" s="557"/>
      <c r="C13" s="557"/>
      <c r="D13" s="557"/>
      <c r="E13" s="557"/>
      <c r="F13" s="557"/>
      <c r="G13" s="557"/>
      <c r="H13" s="558"/>
      <c r="I13" s="7"/>
    </row>
    <row r="14" spans="1:9" ht="14.25" customHeight="1">
      <c r="A14" s="556"/>
      <c r="B14" s="557"/>
      <c r="C14" s="557"/>
      <c r="D14" s="557"/>
      <c r="E14" s="557"/>
      <c r="F14" s="557"/>
      <c r="G14" s="557"/>
      <c r="H14" s="558"/>
      <c r="I14" s="7"/>
    </row>
    <row r="15" spans="1:9" ht="14.25" customHeight="1">
      <c r="A15" s="556"/>
      <c r="B15" s="557"/>
      <c r="C15" s="557"/>
      <c r="D15" s="557"/>
      <c r="E15" s="557"/>
      <c r="F15" s="557"/>
      <c r="G15" s="557"/>
      <c r="H15" s="558"/>
      <c r="I15" s="7"/>
    </row>
    <row r="16" spans="1:9" ht="14.25" customHeight="1">
      <c r="A16" s="556"/>
      <c r="B16" s="557"/>
      <c r="C16" s="557"/>
      <c r="D16" s="557"/>
      <c r="E16" s="557"/>
      <c r="F16" s="557"/>
      <c r="G16" s="557"/>
      <c r="H16" s="558"/>
      <c r="I16" s="7"/>
    </row>
    <row r="17" spans="1:9" ht="14.25" customHeight="1">
      <c r="A17" s="556" t="s">
        <v>263</v>
      </c>
      <c r="B17" s="557"/>
      <c r="C17" s="557"/>
      <c r="D17" s="557"/>
      <c r="E17" s="557"/>
      <c r="F17" s="557"/>
      <c r="G17" s="557"/>
      <c r="H17" s="558"/>
      <c r="I17" s="7"/>
    </row>
    <row r="18" spans="1:9" ht="14.25" customHeight="1">
      <c r="A18" s="556"/>
      <c r="B18" s="557"/>
      <c r="C18" s="557"/>
      <c r="D18" s="557"/>
      <c r="E18" s="557"/>
      <c r="F18" s="557"/>
      <c r="G18" s="557"/>
      <c r="H18" s="558"/>
      <c r="I18" s="7"/>
    </row>
    <row r="19" spans="1:9" ht="14.25" customHeight="1">
      <c r="A19" s="556"/>
      <c r="B19" s="557"/>
      <c r="C19" s="557"/>
      <c r="D19" s="557"/>
      <c r="E19" s="557"/>
      <c r="F19" s="557"/>
      <c r="G19" s="557"/>
      <c r="H19" s="558"/>
      <c r="I19" s="7"/>
    </row>
    <row r="20" spans="1:8" ht="14.25" customHeight="1">
      <c r="A20" s="556"/>
      <c r="B20" s="557"/>
      <c r="C20" s="557"/>
      <c r="D20" s="557"/>
      <c r="E20" s="557"/>
      <c r="F20" s="557"/>
      <c r="G20" s="557"/>
      <c r="H20" s="558"/>
    </row>
    <row r="21" spans="1:8" ht="14.25" customHeight="1">
      <c r="A21" s="556"/>
      <c r="B21" s="557"/>
      <c r="C21" s="557"/>
      <c r="D21" s="557"/>
      <c r="E21" s="557"/>
      <c r="F21" s="557"/>
      <c r="G21" s="557"/>
      <c r="H21" s="558"/>
    </row>
    <row r="22" spans="1:9" ht="15" customHeight="1">
      <c r="A22" s="574"/>
      <c r="B22" s="575"/>
      <c r="C22" s="575"/>
      <c r="D22" s="575"/>
      <c r="E22" s="575"/>
      <c r="F22" s="575"/>
      <c r="G22" s="575"/>
      <c r="H22" s="576"/>
      <c r="I22" s="117"/>
    </row>
    <row r="23" spans="1:9" ht="15" customHeight="1">
      <c r="A23" s="419"/>
      <c r="B23" s="419"/>
      <c r="C23" s="419"/>
      <c r="D23" s="419"/>
      <c r="E23" s="419"/>
      <c r="F23" s="419"/>
      <c r="G23" s="419"/>
      <c r="H23" s="419"/>
      <c r="I23" s="117"/>
    </row>
    <row r="24" spans="1:9" ht="15" customHeight="1">
      <c r="A24" s="419"/>
      <c r="B24" s="419"/>
      <c r="C24" s="419"/>
      <c r="D24" s="419"/>
      <c r="E24" s="419"/>
      <c r="F24" s="419"/>
      <c r="G24" s="419"/>
      <c r="H24" s="419"/>
      <c r="I24" s="117"/>
    </row>
    <row r="25" spans="1:9" ht="14.25">
      <c r="A25" s="5"/>
      <c r="B25" s="5"/>
      <c r="C25" s="5"/>
      <c r="D25" s="5"/>
      <c r="E25" s="5"/>
      <c r="F25" s="5"/>
      <c r="I25" s="117"/>
    </row>
    <row r="26" spans="1:9" ht="14.25" customHeight="1">
      <c r="A26" s="565" t="s">
        <v>310</v>
      </c>
      <c r="B26" s="566"/>
      <c r="C26" s="566"/>
      <c r="D26" s="566"/>
      <c r="E26" s="566"/>
      <c r="F26" s="566"/>
      <c r="G26" s="566"/>
      <c r="H26" s="567"/>
      <c r="I26" s="359"/>
    </row>
    <row r="27" spans="1:9" ht="14.25" customHeight="1">
      <c r="A27" s="568"/>
      <c r="B27" s="569"/>
      <c r="C27" s="569"/>
      <c r="D27" s="569"/>
      <c r="E27" s="569"/>
      <c r="F27" s="569"/>
      <c r="G27" s="569"/>
      <c r="H27" s="570"/>
      <c r="I27" s="359"/>
    </row>
    <row r="28" spans="1:9" ht="12.75" customHeight="1">
      <c r="A28" s="571"/>
      <c r="B28" s="572"/>
      <c r="C28" s="572"/>
      <c r="D28" s="572"/>
      <c r="E28" s="572"/>
      <c r="F28" s="572"/>
      <c r="G28" s="572"/>
      <c r="H28" s="573"/>
      <c r="I28" s="117"/>
    </row>
    <row r="29" spans="1:9" ht="12.75" customHeight="1">
      <c r="A29" s="5"/>
      <c r="B29" s="5"/>
      <c r="C29" s="5"/>
      <c r="D29" s="5"/>
      <c r="E29" s="5"/>
      <c r="F29" s="5"/>
      <c r="I29" s="117"/>
    </row>
    <row r="30" spans="1:6" ht="14.25">
      <c r="A30" s="5"/>
      <c r="B30" s="5"/>
      <c r="C30" s="5"/>
      <c r="D30" s="5"/>
      <c r="E30" s="5"/>
      <c r="F30" s="5"/>
    </row>
    <row r="31" spans="1:6" ht="14.25">
      <c r="A31" s="5"/>
      <c r="B31" s="5"/>
      <c r="C31" s="5"/>
      <c r="D31" s="5"/>
      <c r="E31" s="5"/>
      <c r="F31" s="5"/>
    </row>
    <row r="32" spans="1:6" ht="14.25">
      <c r="A32" s="5"/>
      <c r="B32" s="5"/>
      <c r="C32" s="5"/>
      <c r="D32" s="5"/>
      <c r="E32" s="5"/>
      <c r="F32" s="5"/>
    </row>
    <row r="33" spans="1:6" ht="14.25">
      <c r="A33" s="5"/>
      <c r="B33" s="5"/>
      <c r="C33" s="5"/>
      <c r="D33" s="5"/>
      <c r="E33" s="5"/>
      <c r="F33" s="5"/>
    </row>
    <row r="34" spans="1:6" ht="14.25">
      <c r="A34" s="5"/>
      <c r="B34" s="5"/>
      <c r="C34" s="5"/>
      <c r="D34" s="5"/>
      <c r="E34" s="5"/>
      <c r="F34" s="5"/>
    </row>
    <row r="35" spans="1:6" ht="14.25">
      <c r="A35" s="5"/>
      <c r="B35" s="5"/>
      <c r="C35" s="5"/>
      <c r="D35" s="5"/>
      <c r="E35" s="5"/>
      <c r="F35" s="5"/>
    </row>
    <row r="36" spans="1:6" ht="14.25">
      <c r="A36" s="5"/>
      <c r="B36" s="5"/>
      <c r="C36" s="5"/>
      <c r="D36" s="5"/>
      <c r="E36" s="5"/>
      <c r="F36" s="5"/>
    </row>
    <row r="37" spans="1:6" ht="14.25">
      <c r="A37" s="5"/>
      <c r="B37" s="5"/>
      <c r="C37" s="5"/>
      <c r="D37" s="5"/>
      <c r="E37" s="5"/>
      <c r="F37" s="5"/>
    </row>
    <row r="38" spans="1:6" ht="14.25">
      <c r="A38" s="5"/>
      <c r="B38" s="5"/>
      <c r="C38" s="5"/>
      <c r="D38" s="5"/>
      <c r="E38" s="5"/>
      <c r="F38" s="5"/>
    </row>
    <row r="39" spans="1:6" ht="14.25">
      <c r="A39" s="5"/>
      <c r="B39" s="5"/>
      <c r="C39" s="5"/>
      <c r="D39" s="5"/>
      <c r="E39" s="5"/>
      <c r="F39" s="5"/>
    </row>
    <row r="40" spans="1:6" ht="14.25">
      <c r="A40" s="5"/>
      <c r="B40" s="5"/>
      <c r="C40" s="5"/>
      <c r="D40" s="5"/>
      <c r="E40" s="5"/>
      <c r="F40" s="5"/>
    </row>
    <row r="41" spans="1:6" ht="14.25">
      <c r="A41" s="5"/>
      <c r="B41" s="5"/>
      <c r="C41" s="5"/>
      <c r="D41" s="5"/>
      <c r="E41" s="5"/>
      <c r="F41" s="5"/>
    </row>
    <row r="42" spans="1:6" ht="14.25">
      <c r="A42" s="5"/>
      <c r="B42" s="5"/>
      <c r="C42" s="5"/>
      <c r="D42" s="5"/>
      <c r="E42" s="5"/>
      <c r="F42" s="5"/>
    </row>
    <row r="43" spans="1:6" ht="14.25">
      <c r="A43" s="5"/>
      <c r="B43" s="5"/>
      <c r="C43" s="5"/>
      <c r="D43" s="5"/>
      <c r="E43" s="5"/>
      <c r="F43" s="5"/>
    </row>
    <row r="44" spans="1:6" ht="14.25">
      <c r="A44" s="5"/>
      <c r="B44" s="5"/>
      <c r="C44" s="5"/>
      <c r="D44" s="5"/>
      <c r="E44" s="5"/>
      <c r="F44" s="5"/>
    </row>
    <row r="45" spans="1:6" ht="14.25">
      <c r="A45" s="5"/>
      <c r="B45" s="5"/>
      <c r="C45" s="5"/>
      <c r="D45" s="5"/>
      <c r="E45" s="5"/>
      <c r="F45" s="5"/>
    </row>
    <row r="46" spans="1:6" ht="14.25">
      <c r="A46" s="5"/>
      <c r="B46" s="5"/>
      <c r="C46" s="5"/>
      <c r="D46" s="5"/>
      <c r="E46" s="5"/>
      <c r="F46" s="5"/>
    </row>
    <row r="47" spans="1:6" ht="14.25">
      <c r="A47" s="5"/>
      <c r="B47" s="5"/>
      <c r="C47" s="5"/>
      <c r="D47" s="5"/>
      <c r="E47" s="5"/>
      <c r="F47" s="5"/>
    </row>
    <row r="48" spans="1:6" ht="14.25">
      <c r="A48" s="5"/>
      <c r="B48" s="5"/>
      <c r="C48" s="5"/>
      <c r="D48" s="5"/>
      <c r="E48" s="5"/>
      <c r="F48" s="5"/>
    </row>
    <row r="49" spans="1:6" ht="14.25">
      <c r="A49" s="5"/>
      <c r="B49" s="5"/>
      <c r="C49" s="5"/>
      <c r="D49" s="5"/>
      <c r="E49" s="5"/>
      <c r="F49" s="5"/>
    </row>
    <row r="50" spans="1:6" ht="14.25">
      <c r="A50" s="5"/>
      <c r="B50" s="5"/>
      <c r="C50" s="5"/>
      <c r="D50" s="5"/>
      <c r="E50" s="5"/>
      <c r="F50" s="5"/>
    </row>
    <row r="51" spans="1:6" ht="14.25">
      <c r="A51" s="5"/>
      <c r="B51" s="5"/>
      <c r="C51" s="5"/>
      <c r="D51" s="5"/>
      <c r="E51" s="5"/>
      <c r="F51" s="5"/>
    </row>
  </sheetData>
  <sheetProtection/>
  <mergeCells count="4">
    <mergeCell ref="A6:H16"/>
    <mergeCell ref="A1:H2"/>
    <mergeCell ref="A26:H28"/>
    <mergeCell ref="A17:H22"/>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T52"/>
  <sheetViews>
    <sheetView zoomScalePageLayoutView="0" workbookViewId="0" topLeftCell="A1">
      <selection activeCell="B9" sqref="B9"/>
    </sheetView>
  </sheetViews>
  <sheetFormatPr defaultColWidth="11.00390625" defaultRowHeight="12.75"/>
  <cols>
    <col min="1" max="1" width="28.00390625" style="0" customWidth="1"/>
    <col min="2" max="2" width="11.75390625" style="0" customWidth="1"/>
    <col min="3" max="3" width="8.75390625" style="0" customWidth="1"/>
    <col min="4" max="4" width="6.875" style="0" customWidth="1"/>
    <col min="5" max="5" width="7.625" style="0" customWidth="1"/>
    <col min="6" max="6" width="11.625" style="0" customWidth="1"/>
    <col min="7" max="7" width="9.125" style="0" customWidth="1"/>
  </cols>
  <sheetData>
    <row r="1" spans="1:14" ht="27" thickBot="1">
      <c r="A1" s="742" t="s">
        <v>21</v>
      </c>
      <c r="B1" s="743"/>
      <c r="C1" s="743"/>
      <c r="D1" s="743"/>
      <c r="E1" s="743"/>
      <c r="F1" s="743"/>
      <c r="G1" s="743"/>
      <c r="H1" s="744"/>
      <c r="I1" s="121"/>
      <c r="J1" s="121"/>
      <c r="K1" s="121"/>
      <c r="L1" s="121"/>
      <c r="M1" s="5"/>
      <c r="N1" s="5"/>
    </row>
    <row r="2" spans="1:14" ht="15">
      <c r="A2" s="49"/>
      <c r="B2" s="49"/>
      <c r="C2" s="49"/>
      <c r="D2" s="49"/>
      <c r="E2" s="49"/>
      <c r="F2" s="49"/>
      <c r="G2" s="44"/>
      <c r="H2" s="44"/>
      <c r="I2" s="279"/>
      <c r="J2" s="121"/>
      <c r="K2" s="121"/>
      <c r="L2" s="121"/>
      <c r="M2" s="5"/>
      <c r="N2" s="5"/>
    </row>
    <row r="3" spans="1:14" s="123" customFormat="1" ht="18">
      <c r="A3" s="741" t="s">
        <v>232</v>
      </c>
      <c r="B3" s="678"/>
      <c r="C3" s="678"/>
      <c r="D3" s="678"/>
      <c r="E3" s="678"/>
      <c r="F3" s="678"/>
      <c r="G3" s="678"/>
      <c r="H3" s="679"/>
      <c r="I3" s="279"/>
      <c r="J3" s="121"/>
      <c r="K3" s="121"/>
      <c r="L3" s="121"/>
      <c r="M3" s="121"/>
      <c r="N3" s="121"/>
    </row>
    <row r="4" spans="1:14" ht="45">
      <c r="A4" s="110" t="s">
        <v>14</v>
      </c>
      <c r="B4" s="107" t="s">
        <v>23</v>
      </c>
      <c r="C4" s="108" t="s">
        <v>15</v>
      </c>
      <c r="D4" s="108" t="s">
        <v>110</v>
      </c>
      <c r="E4" s="108" t="s">
        <v>16</v>
      </c>
      <c r="F4" s="108" t="s">
        <v>17</v>
      </c>
      <c r="G4" s="108" t="s">
        <v>109</v>
      </c>
      <c r="H4" s="109" t="s">
        <v>18</v>
      </c>
      <c r="I4" s="279"/>
      <c r="J4" s="121"/>
      <c r="K4" s="121"/>
      <c r="L4" s="121"/>
      <c r="M4" s="5"/>
      <c r="N4" s="5"/>
    </row>
    <row r="5" spans="1:14" ht="15">
      <c r="A5" s="101" t="s">
        <v>19</v>
      </c>
      <c r="B5" s="111">
        <v>9.4</v>
      </c>
      <c r="C5" s="112">
        <v>17.7</v>
      </c>
      <c r="D5" s="112">
        <v>16.5</v>
      </c>
      <c r="E5" s="112">
        <v>1.2</v>
      </c>
      <c r="F5" s="112">
        <v>42.3</v>
      </c>
      <c r="G5" s="112">
        <v>11.9</v>
      </c>
      <c r="H5" s="113">
        <f aca="true" t="shared" si="0" ref="H5:H10">SUM(B5:G5)</f>
        <v>99</v>
      </c>
      <c r="I5" s="279"/>
      <c r="J5" s="121"/>
      <c r="K5" s="121"/>
      <c r="L5" s="121"/>
      <c r="M5" s="5"/>
      <c r="N5" s="5"/>
    </row>
    <row r="6" spans="1:14" ht="15">
      <c r="A6" s="50" t="s">
        <v>107</v>
      </c>
      <c r="B6" s="114">
        <v>0.2</v>
      </c>
      <c r="C6" s="43">
        <v>6</v>
      </c>
      <c r="D6" s="43">
        <v>1</v>
      </c>
      <c r="E6" s="43">
        <v>19</v>
      </c>
      <c r="F6" s="43">
        <v>3</v>
      </c>
      <c r="G6" s="43">
        <v>71</v>
      </c>
      <c r="H6" s="47">
        <f t="shared" si="0"/>
        <v>100.2</v>
      </c>
      <c r="I6" s="279"/>
      <c r="J6" s="121"/>
      <c r="K6" s="121"/>
      <c r="L6" s="121"/>
      <c r="M6" s="5"/>
      <c r="N6" s="5"/>
    </row>
    <row r="7" spans="1:14" ht="15">
      <c r="A7" s="51" t="s">
        <v>20</v>
      </c>
      <c r="B7" s="114">
        <v>2.3</v>
      </c>
      <c r="C7" s="43">
        <v>48.6</v>
      </c>
      <c r="D7" s="43">
        <v>3.3</v>
      </c>
      <c r="E7" s="43">
        <v>0.3</v>
      </c>
      <c r="F7" s="43">
        <v>10.8</v>
      </c>
      <c r="G7" s="43">
        <v>34.4</v>
      </c>
      <c r="H7" s="47">
        <f t="shared" si="0"/>
        <v>99.69999999999999</v>
      </c>
      <c r="I7" s="279"/>
      <c r="J7" s="121"/>
      <c r="K7" s="121"/>
      <c r="L7" s="121"/>
      <c r="M7" s="5"/>
      <c r="N7" s="5"/>
    </row>
    <row r="8" spans="1:14" ht="15">
      <c r="A8" s="285" t="s">
        <v>108</v>
      </c>
      <c r="B8" s="114">
        <v>0</v>
      </c>
      <c r="C8" s="43">
        <v>20</v>
      </c>
      <c r="D8" s="43">
        <v>0</v>
      </c>
      <c r="E8" s="43">
        <v>50</v>
      </c>
      <c r="F8" s="43">
        <v>12</v>
      </c>
      <c r="G8" s="43">
        <v>18</v>
      </c>
      <c r="H8" s="47">
        <f t="shared" si="0"/>
        <v>100</v>
      </c>
      <c r="I8" s="123"/>
      <c r="J8" s="279"/>
      <c r="K8" s="121"/>
      <c r="L8" s="121"/>
      <c r="M8" s="5"/>
      <c r="N8" s="5"/>
    </row>
    <row r="9" spans="1:14" ht="15">
      <c r="A9" s="363" t="s">
        <v>22</v>
      </c>
      <c r="B9" s="396">
        <v>10</v>
      </c>
      <c r="C9" s="397">
        <v>10</v>
      </c>
      <c r="D9" s="397">
        <v>10</v>
      </c>
      <c r="E9" s="397">
        <v>10</v>
      </c>
      <c r="F9" s="397">
        <v>10</v>
      </c>
      <c r="G9" s="397">
        <v>50</v>
      </c>
      <c r="H9" s="400">
        <f t="shared" si="0"/>
        <v>100</v>
      </c>
      <c r="I9" s="389">
        <f>IF(H9&gt;99.9,IF(H9&lt;100.1,"","&lt;--Must add to 100%"),"&lt;--Must add to 100%")</f>
      </c>
      <c r="J9" s="121"/>
      <c r="K9" s="121"/>
      <c r="L9" s="121"/>
      <c r="M9" s="5"/>
      <c r="N9" s="5"/>
    </row>
    <row r="10" spans="1:14" ht="15">
      <c r="A10" s="364" t="s">
        <v>44</v>
      </c>
      <c r="B10" s="398">
        <v>0</v>
      </c>
      <c r="C10" s="399">
        <v>6</v>
      </c>
      <c r="D10" s="399">
        <v>22</v>
      </c>
      <c r="E10" s="399">
        <v>65</v>
      </c>
      <c r="F10" s="399">
        <v>0</v>
      </c>
      <c r="G10" s="399">
        <v>7</v>
      </c>
      <c r="H10" s="401">
        <f t="shared" si="0"/>
        <v>100</v>
      </c>
      <c r="I10" s="389">
        <f>IF(H10&gt;99.9,IF(H10&lt;100.1,"","&lt;--Must add to 100%"),"&lt;--Must add to 100%")</f>
      </c>
      <c r="J10" s="121"/>
      <c r="K10" s="121"/>
      <c r="L10" s="121"/>
      <c r="M10" s="5"/>
      <c r="N10" s="5"/>
    </row>
    <row r="11" spans="9:14" ht="14.25">
      <c r="I11" s="121"/>
      <c r="J11" s="121"/>
      <c r="K11" s="121"/>
      <c r="L11" s="121"/>
      <c r="M11" s="5"/>
      <c r="N11" s="5"/>
    </row>
    <row r="12" spans="9:14" ht="14.25">
      <c r="I12" s="121"/>
      <c r="J12" s="121"/>
      <c r="K12" s="121"/>
      <c r="L12" s="121"/>
      <c r="M12" s="5"/>
      <c r="N12" s="5"/>
    </row>
    <row r="13" spans="1:14" s="123" customFormat="1" ht="18">
      <c r="A13" s="677" t="s">
        <v>241</v>
      </c>
      <c r="B13" s="678"/>
      <c r="C13" s="678"/>
      <c r="D13" s="678"/>
      <c r="E13" s="678"/>
      <c r="F13" s="678"/>
      <c r="G13" s="678"/>
      <c r="H13" s="278"/>
      <c r="I13" s="121"/>
      <c r="J13" s="121"/>
      <c r="K13" s="121"/>
      <c r="L13" s="121"/>
      <c r="M13" s="121"/>
      <c r="N13" s="121"/>
    </row>
    <row r="14" spans="1:14" ht="30" customHeight="1">
      <c r="A14" s="291" t="s">
        <v>233</v>
      </c>
      <c r="B14" s="119" t="s">
        <v>23</v>
      </c>
      <c r="C14" s="100" t="s">
        <v>15</v>
      </c>
      <c r="D14" s="100" t="s">
        <v>110</v>
      </c>
      <c r="E14" s="100" t="s">
        <v>16</v>
      </c>
      <c r="F14" s="100" t="s">
        <v>17</v>
      </c>
      <c r="G14" s="100" t="s">
        <v>109</v>
      </c>
      <c r="H14" s="296"/>
      <c r="I14" s="121"/>
      <c r="J14" s="121"/>
      <c r="K14" s="5"/>
      <c r="L14" s="5"/>
      <c r="M14" s="5"/>
      <c r="N14" s="5"/>
    </row>
    <row r="15" spans="1:14" ht="15">
      <c r="A15" s="297" t="s">
        <v>242</v>
      </c>
      <c r="B15" s="111">
        <v>0</v>
      </c>
      <c r="C15" s="112">
        <v>0</v>
      </c>
      <c r="D15" s="112">
        <v>0</v>
      </c>
      <c r="E15" s="112">
        <v>1670</v>
      </c>
      <c r="F15" s="112">
        <v>1140</v>
      </c>
      <c r="G15" s="112">
        <v>2250</v>
      </c>
      <c r="H15" s="114"/>
      <c r="I15" s="121"/>
      <c r="J15" s="121"/>
      <c r="K15" s="5"/>
      <c r="L15" s="5"/>
      <c r="M15" s="5"/>
      <c r="N15" s="5"/>
    </row>
    <row r="16" spans="1:14" ht="15">
      <c r="A16" s="298" t="s">
        <v>243</v>
      </c>
      <c r="B16" s="114">
        <v>0</v>
      </c>
      <c r="C16" s="43">
        <v>0</v>
      </c>
      <c r="D16" s="43">
        <v>0</v>
      </c>
      <c r="E16" s="43">
        <v>0.125</v>
      </c>
      <c r="F16" s="43">
        <v>0.115</v>
      </c>
      <c r="G16" s="43">
        <v>0.7071</v>
      </c>
      <c r="H16" s="114"/>
      <c r="I16" s="121"/>
      <c r="J16" s="121"/>
      <c r="K16" s="5"/>
      <c r="L16" s="5"/>
      <c r="M16" s="5"/>
      <c r="N16" s="5"/>
    </row>
    <row r="17" spans="1:14" ht="15">
      <c r="A17" s="298" t="s">
        <v>244</v>
      </c>
      <c r="B17" s="114">
        <v>0</v>
      </c>
      <c r="C17" s="43">
        <v>0</v>
      </c>
      <c r="D17" s="43">
        <v>0</v>
      </c>
      <c r="E17" s="43">
        <v>12</v>
      </c>
      <c r="F17" s="43">
        <v>0.1</v>
      </c>
      <c r="G17" s="43">
        <v>13</v>
      </c>
      <c r="H17" s="114"/>
      <c r="I17" s="121"/>
      <c r="J17" s="121"/>
      <c r="K17" s="5"/>
      <c r="L17" s="5"/>
      <c r="M17" s="5"/>
      <c r="N17" s="5"/>
    </row>
    <row r="18" spans="1:14" ht="15">
      <c r="A18" s="299" t="s">
        <v>180</v>
      </c>
      <c r="B18" s="300">
        <v>0</v>
      </c>
      <c r="C18" s="301">
        <v>0</v>
      </c>
      <c r="D18" s="301">
        <v>0</v>
      </c>
      <c r="E18" s="301">
        <v>4</v>
      </c>
      <c r="F18" s="302">
        <v>2</v>
      </c>
      <c r="G18" s="302">
        <v>6</v>
      </c>
      <c r="H18" s="300"/>
      <c r="I18" s="121"/>
      <c r="J18" s="121"/>
      <c r="K18" s="5"/>
      <c r="L18" s="5"/>
      <c r="M18" s="5"/>
      <c r="N18" s="5"/>
    </row>
    <row r="19" spans="1:14" ht="15">
      <c r="A19" s="299" t="s">
        <v>181</v>
      </c>
      <c r="B19" s="300">
        <v>0</v>
      </c>
      <c r="C19" s="301">
        <v>0</v>
      </c>
      <c r="D19" s="301">
        <v>0</v>
      </c>
      <c r="E19" s="301">
        <v>0.127</v>
      </c>
      <c r="F19" s="301">
        <v>0.0008</v>
      </c>
      <c r="G19" s="301">
        <v>17.68</v>
      </c>
      <c r="H19" s="300"/>
      <c r="I19" s="121"/>
      <c r="J19" s="121"/>
      <c r="K19" s="5"/>
      <c r="L19" s="5"/>
      <c r="M19" s="5"/>
      <c r="N19" s="5"/>
    </row>
    <row r="20" spans="1:20" ht="15">
      <c r="A20" s="303" t="s">
        <v>182</v>
      </c>
      <c r="B20" s="304">
        <v>0</v>
      </c>
      <c r="C20" s="305">
        <v>0</v>
      </c>
      <c r="D20" s="350">
        <v>81.78766741006777</v>
      </c>
      <c r="E20" s="350">
        <v>1006.1785130215313</v>
      </c>
      <c r="F20" s="350">
        <v>103.66111334531846</v>
      </c>
      <c r="G20" s="350">
        <v>155.96717971222225</v>
      </c>
      <c r="H20" s="306"/>
      <c r="I20" s="279"/>
      <c r="J20" s="279"/>
      <c r="K20" s="117"/>
      <c r="L20" s="117"/>
      <c r="M20" s="30"/>
      <c r="N20" s="30"/>
      <c r="O20" s="117"/>
      <c r="P20" s="117"/>
      <c r="Q20" s="117"/>
      <c r="R20" s="117"/>
      <c r="S20" s="117"/>
      <c r="T20" s="117"/>
    </row>
    <row r="21" spans="1:20" ht="14.25">
      <c r="A21" s="5"/>
      <c r="I21" s="30"/>
      <c r="J21" s="117"/>
      <c r="K21" s="117"/>
      <c r="L21" s="117"/>
      <c r="M21" s="30"/>
      <c r="N21" s="30"/>
      <c r="O21" s="117"/>
      <c r="P21" s="117"/>
      <c r="Q21" s="117"/>
      <c r="R21" s="117"/>
      <c r="S21" s="117"/>
      <c r="T21" s="117"/>
    </row>
    <row r="22" spans="9:20" ht="14.25">
      <c r="I22" s="30"/>
      <c r="J22" s="117"/>
      <c r="K22" s="117"/>
      <c r="L22" s="117"/>
      <c r="M22" s="30"/>
      <c r="N22" s="30"/>
      <c r="O22" s="117"/>
      <c r="P22" s="117"/>
      <c r="Q22" s="117"/>
      <c r="R22" s="117"/>
      <c r="S22" s="117"/>
      <c r="T22" s="117"/>
    </row>
    <row r="23" spans="1:20" s="123" customFormat="1" ht="18">
      <c r="A23" s="677" t="s">
        <v>183</v>
      </c>
      <c r="B23" s="678"/>
      <c r="C23" s="678"/>
      <c r="D23" s="678"/>
      <c r="E23" s="678"/>
      <c r="F23" s="678"/>
      <c r="G23" s="679"/>
      <c r="I23" s="279"/>
      <c r="J23" s="249"/>
      <c r="K23" s="249"/>
      <c r="L23" s="249"/>
      <c r="M23" s="279"/>
      <c r="N23" s="279"/>
      <c r="O23" s="249"/>
      <c r="P23" s="249"/>
      <c r="Q23" s="249"/>
      <c r="R23" s="249"/>
      <c r="S23" s="249"/>
      <c r="T23" s="249"/>
    </row>
    <row r="24" spans="1:20" ht="15">
      <c r="A24" s="280"/>
      <c r="B24" s="745" t="s">
        <v>184</v>
      </c>
      <c r="C24" s="745"/>
      <c r="D24" s="745"/>
      <c r="E24" s="745"/>
      <c r="F24" s="745"/>
      <c r="G24" s="281" t="s">
        <v>185</v>
      </c>
      <c r="H24" s="123"/>
      <c r="I24" s="118"/>
      <c r="J24" s="30"/>
      <c r="K24" s="30"/>
      <c r="L24" s="30"/>
      <c r="M24" s="30"/>
      <c r="N24" s="30"/>
      <c r="O24" s="117"/>
      <c r="P24" s="117"/>
      <c r="Q24" s="117"/>
      <c r="R24" s="117"/>
      <c r="S24" s="117"/>
      <c r="T24" s="117"/>
    </row>
    <row r="25" spans="1:14" ht="15">
      <c r="A25" s="291" t="s">
        <v>14</v>
      </c>
      <c r="B25" s="106" t="s">
        <v>171</v>
      </c>
      <c r="C25" s="100" t="s">
        <v>41</v>
      </c>
      <c r="D25" s="100" t="s">
        <v>201</v>
      </c>
      <c r="E25" s="106" t="s">
        <v>231</v>
      </c>
      <c r="F25" s="106" t="s">
        <v>158</v>
      </c>
      <c r="G25" s="282" t="s">
        <v>240</v>
      </c>
      <c r="H25" s="123"/>
      <c r="I25" s="116"/>
      <c r="J25" s="5"/>
      <c r="K25" s="5"/>
      <c r="L25" s="5"/>
      <c r="M25" s="5"/>
      <c r="N25" s="5"/>
    </row>
    <row r="26" spans="1:14" ht="15">
      <c r="A26" s="292" t="s">
        <v>19</v>
      </c>
      <c r="B26" s="287">
        <f aca="true" t="shared" si="1" ref="B26:B31">(B5*B$15+C5*C$15+D5*D$15+E5*E$15+F5*F$15+G5*G$15)/100</f>
        <v>770.01</v>
      </c>
      <c r="C26" s="287">
        <f aca="true" t="shared" si="2" ref="C26:C31">(B5*B$16+C5*C$16+D5*D$16+E5*E$16+F5*F$16+G5*G$16)/100</f>
        <v>0.1342899</v>
      </c>
      <c r="D26" s="287">
        <f aca="true" t="shared" si="3" ref="D26:D31">(B5*B$17+C5*C$17+D5*D$17+E5*E$17+F5*F$17+G5*G$17)/100</f>
        <v>1.7333</v>
      </c>
      <c r="E26" s="287">
        <f aca="true" t="shared" si="4" ref="E26:E31">(B5*B$18+C5*C$18+D5*D$18+E5*E$18+F5*F$18+G5*G$18)/100</f>
        <v>1.608</v>
      </c>
      <c r="F26" s="287">
        <f aca="true" t="shared" si="5" ref="F26:F31">(B5*B$19+C5*C$19+D5*D$19+E5*E$19+F5*F$19+G5*G$19)/100</f>
        <v>2.1057824</v>
      </c>
      <c r="G26" s="288">
        <f aca="true" t="shared" si="6" ref="G26:G31">(B5*B$20+C5*C$20+D5*D$20+E5*E$20+F5*F$20+G5*G$20)/100</f>
        <v>87.9778526097437</v>
      </c>
      <c r="H26" s="123"/>
      <c r="I26" s="118"/>
      <c r="J26" s="121"/>
      <c r="K26" s="121"/>
      <c r="L26" s="121"/>
      <c r="M26" s="5"/>
      <c r="N26" s="5"/>
    </row>
    <row r="27" spans="1:14" ht="15">
      <c r="A27" s="50" t="s">
        <v>107</v>
      </c>
      <c r="B27" s="283">
        <f t="shared" si="1"/>
        <v>1949</v>
      </c>
      <c r="C27" s="283">
        <f t="shared" si="2"/>
        <v>0.529241</v>
      </c>
      <c r="D27" s="283">
        <f t="shared" si="3"/>
        <v>11.513</v>
      </c>
      <c r="E27" s="283">
        <f t="shared" si="4"/>
        <v>5.08</v>
      </c>
      <c r="F27" s="283">
        <f t="shared" si="5"/>
        <v>12.576954</v>
      </c>
      <c r="G27" s="284">
        <f t="shared" si="6"/>
        <v>305.838325144229</v>
      </c>
      <c r="H27" s="123"/>
      <c r="I27" s="116"/>
      <c r="J27" s="5"/>
      <c r="K27" s="5"/>
      <c r="L27" s="5"/>
      <c r="M27" s="5"/>
      <c r="N27" s="5"/>
    </row>
    <row r="28" spans="1:14" ht="15">
      <c r="A28" s="285" t="s">
        <v>20</v>
      </c>
      <c r="B28" s="283">
        <f t="shared" si="1"/>
        <v>902.13</v>
      </c>
      <c r="C28" s="283">
        <f t="shared" si="2"/>
        <v>0.25603739999999997</v>
      </c>
      <c r="D28" s="283">
        <f t="shared" si="3"/>
        <v>4.5188</v>
      </c>
      <c r="E28" s="283">
        <f t="shared" si="4"/>
        <v>2.292</v>
      </c>
      <c r="F28" s="283">
        <f t="shared" si="5"/>
        <v>6.0823874</v>
      </c>
      <c r="G28" s="284">
        <f t="shared" si="6"/>
        <v>70.56563862589569</v>
      </c>
      <c r="H28" s="123"/>
      <c r="I28" s="118"/>
      <c r="J28" s="5"/>
      <c r="K28" s="5"/>
      <c r="L28" s="5"/>
      <c r="M28" s="5"/>
      <c r="N28" s="5"/>
    </row>
    <row r="29" spans="1:15" ht="15">
      <c r="A29" s="293" t="s">
        <v>108</v>
      </c>
      <c r="B29" s="283">
        <f t="shared" si="1"/>
        <v>1376.8</v>
      </c>
      <c r="C29" s="283">
        <f t="shared" si="2"/>
        <v>0.20357799999999998</v>
      </c>
      <c r="D29" s="283">
        <f t="shared" si="3"/>
        <v>8.352</v>
      </c>
      <c r="E29" s="283">
        <f t="shared" si="4"/>
        <v>3.32</v>
      </c>
      <c r="F29" s="283">
        <f t="shared" si="5"/>
        <v>3.245996</v>
      </c>
      <c r="G29" s="284">
        <f t="shared" si="6"/>
        <v>543.6026824604039</v>
      </c>
      <c r="H29" s="115"/>
      <c r="I29" s="121"/>
      <c r="J29" s="121"/>
      <c r="K29" s="121"/>
      <c r="L29" s="121"/>
      <c r="M29" s="121"/>
      <c r="N29" s="121"/>
      <c r="O29" s="123"/>
    </row>
    <row r="30" spans="1:15" ht="15">
      <c r="A30" s="293" t="s">
        <v>304</v>
      </c>
      <c r="B30" s="283">
        <f t="shared" si="1"/>
        <v>1406</v>
      </c>
      <c r="C30" s="283">
        <f t="shared" si="2"/>
        <v>0.37754999999999994</v>
      </c>
      <c r="D30" s="283">
        <f t="shared" si="3"/>
        <v>7.71</v>
      </c>
      <c r="E30" s="283">
        <f t="shared" si="4"/>
        <v>3.6</v>
      </c>
      <c r="F30" s="283">
        <f t="shared" si="5"/>
        <v>8.852780000000001</v>
      </c>
      <c r="G30" s="284">
        <f t="shared" si="6"/>
        <v>197.1463192338029</v>
      </c>
      <c r="H30" s="115"/>
      <c r="I30" s="121"/>
      <c r="J30" s="121"/>
      <c r="K30" s="121"/>
      <c r="L30" s="121"/>
      <c r="M30" s="121"/>
      <c r="N30" s="121"/>
      <c r="O30" s="123"/>
    </row>
    <row r="31" spans="1:15" ht="15">
      <c r="A31" s="294" t="s">
        <v>305</v>
      </c>
      <c r="B31" s="289">
        <f t="shared" si="1"/>
        <v>1243</v>
      </c>
      <c r="C31" s="289">
        <f t="shared" si="2"/>
        <v>0.130747</v>
      </c>
      <c r="D31" s="289">
        <f t="shared" si="3"/>
        <v>8.71</v>
      </c>
      <c r="E31" s="289">
        <f t="shared" si="4"/>
        <v>3.02</v>
      </c>
      <c r="F31" s="289">
        <f t="shared" si="5"/>
        <v>1.32015</v>
      </c>
      <c r="G31" s="290">
        <f t="shared" si="6"/>
        <v>682.9270228740658</v>
      </c>
      <c r="H31" s="115"/>
      <c r="I31" s="121"/>
      <c r="J31" s="121"/>
      <c r="K31" s="121"/>
      <c r="L31" s="121"/>
      <c r="M31" s="121"/>
      <c r="N31" s="121"/>
      <c r="O31" s="123"/>
    </row>
    <row r="32" spans="1:15" ht="14.25" customHeight="1">
      <c r="A32" s="123"/>
      <c r="B32" s="123"/>
      <c r="C32" s="123"/>
      <c r="D32" s="123"/>
      <c r="E32" s="123"/>
      <c r="F32" s="123"/>
      <c r="G32" s="249"/>
      <c r="H32" s="115"/>
      <c r="I32" s="121"/>
      <c r="J32" s="121"/>
      <c r="K32" s="121"/>
      <c r="L32" s="121"/>
      <c r="M32" s="121"/>
      <c r="N32" s="121"/>
      <c r="O32" s="123"/>
    </row>
    <row r="33" spans="1:15" ht="14.25">
      <c r="A33" s="295"/>
      <c r="B33" s="295"/>
      <c r="C33" s="295"/>
      <c r="D33" s="295"/>
      <c r="E33" s="295"/>
      <c r="F33" s="295"/>
      <c r="G33" s="249"/>
      <c r="H33" s="286"/>
      <c r="I33" s="279"/>
      <c r="J33" s="279"/>
      <c r="K33" s="279"/>
      <c r="L33" s="279"/>
      <c r="M33" s="121"/>
      <c r="N33" s="121"/>
      <c r="O33" s="123"/>
    </row>
    <row r="34" spans="1:14" ht="14.25">
      <c r="A34" s="5"/>
      <c r="B34" s="5"/>
      <c r="C34" s="5"/>
      <c r="D34" s="5"/>
      <c r="E34" s="5"/>
      <c r="F34" s="5"/>
      <c r="G34" s="5"/>
      <c r="H34" s="41"/>
      <c r="I34" s="5"/>
      <c r="J34" s="5"/>
      <c r="K34" s="5"/>
      <c r="L34" s="5"/>
      <c r="M34" s="5"/>
      <c r="N34" s="5"/>
    </row>
    <row r="35" spans="8:14" ht="14.25">
      <c r="H35" s="23"/>
      <c r="I35" s="5"/>
      <c r="J35" s="5"/>
      <c r="K35" s="5"/>
      <c r="L35" s="5"/>
      <c r="M35" s="5"/>
      <c r="N35" s="5"/>
    </row>
    <row r="36" spans="8:14" ht="14.25">
      <c r="H36" s="5"/>
      <c r="I36" s="5"/>
      <c r="J36" s="5"/>
      <c r="K36" s="5"/>
      <c r="L36" s="5"/>
      <c r="M36" s="5"/>
      <c r="N36" s="5"/>
    </row>
    <row r="37" spans="1:14" ht="14.25">
      <c r="A37" s="5"/>
      <c r="B37" s="5"/>
      <c r="C37" s="5"/>
      <c r="D37" s="5"/>
      <c r="E37" s="5"/>
      <c r="F37" s="5"/>
      <c r="G37" s="5"/>
      <c r="H37" s="5"/>
      <c r="I37" s="5"/>
      <c r="J37" s="5"/>
      <c r="K37" s="5"/>
      <c r="L37" s="5"/>
      <c r="M37" s="5"/>
      <c r="N37" s="5"/>
    </row>
    <row r="38" spans="1:14" ht="14.25">
      <c r="A38" s="5"/>
      <c r="B38" s="5"/>
      <c r="C38" s="5"/>
      <c r="D38" s="5"/>
      <c r="E38" s="5"/>
      <c r="F38" s="5"/>
      <c r="G38" s="5"/>
      <c r="H38" s="5"/>
      <c r="I38" s="5"/>
      <c r="J38" s="5"/>
      <c r="K38" s="5"/>
      <c r="L38" s="5"/>
      <c r="M38" s="5"/>
      <c r="N38" s="5"/>
    </row>
    <row r="39" spans="1:14" ht="14.25">
      <c r="A39" s="5"/>
      <c r="B39" s="5"/>
      <c r="C39" s="5"/>
      <c r="D39" s="5"/>
      <c r="E39" s="5"/>
      <c r="F39" s="5"/>
      <c r="G39" s="5"/>
      <c r="H39" s="5"/>
      <c r="I39" s="5"/>
      <c r="J39" s="5"/>
      <c r="K39" s="5"/>
      <c r="L39" s="5"/>
      <c r="M39" s="5"/>
      <c r="N39" s="5"/>
    </row>
    <row r="40" spans="1:14" ht="14.25">
      <c r="A40" s="5"/>
      <c r="B40" s="5"/>
      <c r="C40" s="5"/>
      <c r="D40" s="5"/>
      <c r="E40" s="5"/>
      <c r="F40" s="5"/>
      <c r="G40" s="5"/>
      <c r="H40" s="5"/>
      <c r="I40" s="5"/>
      <c r="J40" s="5"/>
      <c r="K40" s="5"/>
      <c r="L40" s="5"/>
      <c r="M40" s="5"/>
      <c r="N40" s="5"/>
    </row>
    <row r="41" spans="1:14" ht="14.25">
      <c r="A41" s="5"/>
      <c r="B41" s="5"/>
      <c r="C41" s="5"/>
      <c r="D41" s="5"/>
      <c r="E41" s="5"/>
      <c r="F41" s="5"/>
      <c r="G41" s="5"/>
      <c r="H41" s="5"/>
      <c r="I41" s="5"/>
      <c r="J41" s="5"/>
      <c r="K41" s="5"/>
      <c r="L41" s="5"/>
      <c r="M41" s="5"/>
      <c r="N41" s="5"/>
    </row>
    <row r="42" spans="1:14" ht="14.25">
      <c r="A42" s="5"/>
      <c r="B42" s="5"/>
      <c r="C42" s="5"/>
      <c r="D42" s="5"/>
      <c r="E42" s="5"/>
      <c r="F42" s="5"/>
      <c r="G42" s="5"/>
      <c r="H42" s="5"/>
      <c r="I42" s="5"/>
      <c r="J42" s="5"/>
      <c r="K42" s="5"/>
      <c r="L42" s="5"/>
      <c r="M42" s="5"/>
      <c r="N42" s="5"/>
    </row>
    <row r="43" spans="1:14" ht="14.25">
      <c r="A43" s="5"/>
      <c r="B43" s="5"/>
      <c r="C43" s="5"/>
      <c r="D43" s="5"/>
      <c r="E43" s="5"/>
      <c r="F43" s="5"/>
      <c r="G43" s="5"/>
      <c r="H43" s="5"/>
      <c r="I43" s="5"/>
      <c r="J43" s="5"/>
      <c r="K43" s="5"/>
      <c r="L43" s="5"/>
      <c r="M43" s="5"/>
      <c r="N43" s="5"/>
    </row>
    <row r="44" spans="1:14" ht="14.25">
      <c r="A44" s="5"/>
      <c r="B44" s="5"/>
      <c r="C44" s="5"/>
      <c r="D44" s="5"/>
      <c r="E44" s="5"/>
      <c r="F44" s="5"/>
      <c r="G44" s="5"/>
      <c r="H44" s="5"/>
      <c r="I44" s="5"/>
      <c r="J44" s="5"/>
      <c r="K44" s="5"/>
      <c r="L44" s="5"/>
      <c r="M44" s="5"/>
      <c r="N44" s="5"/>
    </row>
    <row r="45" spans="1:14" ht="14.25">
      <c r="A45" s="5"/>
      <c r="B45" s="5"/>
      <c r="C45" s="5"/>
      <c r="D45" s="5"/>
      <c r="E45" s="5"/>
      <c r="F45" s="5"/>
      <c r="G45" s="5"/>
      <c r="H45" s="5"/>
      <c r="I45" s="5"/>
      <c r="J45" s="5"/>
      <c r="K45" s="5"/>
      <c r="L45" s="5"/>
      <c r="M45" s="5"/>
      <c r="N45" s="5"/>
    </row>
    <row r="46" spans="1:14" ht="14.25">
      <c r="A46" s="5"/>
      <c r="B46" s="5"/>
      <c r="C46" s="5"/>
      <c r="D46" s="5"/>
      <c r="E46" s="5"/>
      <c r="F46" s="5"/>
      <c r="G46" s="5"/>
      <c r="H46" s="5"/>
      <c r="I46" s="5"/>
      <c r="J46" s="5"/>
      <c r="K46" s="5"/>
      <c r="L46" s="5"/>
      <c r="M46" s="5"/>
      <c r="N46" s="5"/>
    </row>
    <row r="47" spans="1:14" ht="14.25">
      <c r="A47" s="5"/>
      <c r="B47" s="5"/>
      <c r="C47" s="5"/>
      <c r="D47" s="5"/>
      <c r="E47" s="5"/>
      <c r="F47" s="5"/>
      <c r="G47" s="5"/>
      <c r="H47" s="5"/>
      <c r="I47" s="5"/>
      <c r="J47" s="5"/>
      <c r="K47" s="5"/>
      <c r="L47" s="5"/>
      <c r="M47" s="5"/>
      <c r="N47" s="5"/>
    </row>
    <row r="48" spans="1:14" ht="14.25">
      <c r="A48" s="5"/>
      <c r="B48" s="5"/>
      <c r="C48" s="5"/>
      <c r="D48" s="5"/>
      <c r="E48" s="5"/>
      <c r="F48" s="5"/>
      <c r="G48" s="5"/>
      <c r="H48" s="5"/>
      <c r="I48" s="5"/>
      <c r="J48" s="5"/>
      <c r="K48" s="5"/>
      <c r="L48" s="5"/>
      <c r="M48" s="5"/>
      <c r="N48" s="5"/>
    </row>
    <row r="49" spans="1:14" ht="14.25">
      <c r="A49" s="5"/>
      <c r="B49" s="5"/>
      <c r="C49" s="5"/>
      <c r="D49" s="5"/>
      <c r="E49" s="5"/>
      <c r="F49" s="5"/>
      <c r="G49" s="5"/>
      <c r="H49" s="5"/>
      <c r="I49" s="5"/>
      <c r="J49" s="5"/>
      <c r="K49" s="5"/>
      <c r="L49" s="5"/>
      <c r="M49" s="5"/>
      <c r="N49" s="5"/>
    </row>
    <row r="50" spans="8:14" ht="14.25">
      <c r="H50" s="5"/>
      <c r="J50" s="5"/>
      <c r="K50" s="5"/>
      <c r="L50" s="5"/>
      <c r="M50" s="5"/>
      <c r="N50" s="5"/>
    </row>
    <row r="51" spans="8:14" ht="14.25">
      <c r="H51" s="5"/>
      <c r="J51" s="5"/>
      <c r="K51" s="5"/>
      <c r="L51" s="5"/>
      <c r="M51" s="5"/>
      <c r="N51" s="5"/>
    </row>
    <row r="52" ht="14.25">
      <c r="H52" s="5"/>
    </row>
  </sheetData>
  <sheetProtection/>
  <mergeCells count="5">
    <mergeCell ref="A3:H3"/>
    <mergeCell ref="A1:H1"/>
    <mergeCell ref="A23:G23"/>
    <mergeCell ref="B24:F24"/>
    <mergeCell ref="A13:G13"/>
  </mergeCells>
  <printOptions/>
  <pageMargins left="0.75" right="0.75" top="1" bottom="1" header="0.5" footer="0.5"/>
  <pageSetup orientation="landscape"/>
  <legacyDrawing r:id="rId2"/>
</worksheet>
</file>

<file path=xl/worksheets/sheet11.xml><?xml version="1.0" encoding="utf-8"?>
<worksheet xmlns="http://schemas.openxmlformats.org/spreadsheetml/2006/main" xmlns:r="http://schemas.openxmlformats.org/officeDocument/2006/relationships">
  <dimension ref="A1:L48"/>
  <sheetViews>
    <sheetView zoomScalePageLayoutView="0" workbookViewId="0" topLeftCell="A1">
      <selection activeCell="E5" sqref="E5:F5"/>
    </sheetView>
  </sheetViews>
  <sheetFormatPr defaultColWidth="11.00390625" defaultRowHeight="12.75"/>
  <cols>
    <col min="1" max="1" width="31.625" style="2" customWidth="1"/>
    <col min="2" max="5" width="11.00390625" style="2" customWidth="1"/>
    <col min="6" max="6" width="12.625" style="2" bestFit="1" customWidth="1"/>
    <col min="7" max="7" width="12.25390625" style="2" customWidth="1"/>
    <col min="8" max="8" width="7.875" style="2" bestFit="1" customWidth="1"/>
    <col min="9" max="9" width="13.25390625" style="2" bestFit="1" customWidth="1"/>
    <col min="10" max="16384" width="11.00390625" style="2" customWidth="1"/>
  </cols>
  <sheetData>
    <row r="1" spans="1:12" ht="14.25">
      <c r="A1" s="746" t="s">
        <v>4</v>
      </c>
      <c r="B1" s="747"/>
      <c r="C1" s="747"/>
      <c r="D1" s="747"/>
      <c r="E1" s="747"/>
      <c r="F1" s="748"/>
      <c r="G1" s="5"/>
      <c r="H1" s="5"/>
      <c r="I1" s="5"/>
      <c r="J1" s="5"/>
      <c r="K1" s="5"/>
      <c r="L1" s="5"/>
    </row>
    <row r="2" spans="1:12" ht="15" thickBot="1">
      <c r="A2" s="749"/>
      <c r="B2" s="704"/>
      <c r="C2" s="704"/>
      <c r="D2" s="704"/>
      <c r="E2" s="704"/>
      <c r="F2" s="750"/>
      <c r="J2" s="5"/>
      <c r="K2" s="5"/>
      <c r="L2" s="5"/>
    </row>
    <row r="3" spans="1:12" ht="14.25">
      <c r="A3" s="5"/>
      <c r="B3" s="5"/>
      <c r="C3" s="5"/>
      <c r="D3" s="5"/>
      <c r="F3" s="5"/>
      <c r="J3" s="5"/>
      <c r="K3" s="5"/>
      <c r="L3" s="5"/>
    </row>
    <row r="4" spans="1:12" ht="14.25">
      <c r="A4" s="5"/>
      <c r="B4" s="5"/>
      <c r="C4" s="5"/>
      <c r="D4" s="5"/>
      <c r="F4" s="5"/>
      <c r="J4" s="5"/>
      <c r="K4" s="5"/>
      <c r="L4" s="5"/>
    </row>
    <row r="5" spans="1:12" ht="15">
      <c r="A5" s="7" t="s">
        <v>12</v>
      </c>
      <c r="B5" s="19" t="str">
        <f>GridLocation</f>
        <v>China</v>
      </c>
      <c r="C5" s="28"/>
      <c r="D5" s="28"/>
      <c r="E5" s="739" t="s">
        <v>57</v>
      </c>
      <c r="F5" s="740"/>
      <c r="J5" s="5"/>
      <c r="K5" s="5"/>
      <c r="L5" s="5"/>
    </row>
    <row r="6" spans="1:12" ht="14.25">
      <c r="A6" s="5"/>
      <c r="B6" s="5"/>
      <c r="C6" s="5"/>
      <c r="D6" s="5"/>
      <c r="E6" s="526">
        <v>3599.99999999712</v>
      </c>
      <c r="F6" s="527" t="s">
        <v>186</v>
      </c>
      <c r="J6" s="5"/>
      <c r="K6" s="5"/>
      <c r="L6" s="5"/>
    </row>
    <row r="7" spans="1:12" ht="14.25">
      <c r="A7" s="757" t="s">
        <v>3</v>
      </c>
      <c r="B7" s="758"/>
      <c r="C7" s="759"/>
      <c r="D7" s="5"/>
      <c r="E7" s="538">
        <v>146.33</v>
      </c>
      <c r="F7" s="539" t="s">
        <v>5</v>
      </c>
      <c r="J7" s="5"/>
      <c r="K7" s="5"/>
      <c r="L7" s="5"/>
    </row>
    <row r="8" spans="1:12" ht="14.25">
      <c r="A8" s="760"/>
      <c r="B8" s="761"/>
      <c r="C8" s="762"/>
      <c r="J8" s="5"/>
      <c r="K8" s="5"/>
      <c r="L8" s="5"/>
    </row>
    <row r="9" spans="1:12" ht="15">
      <c r="A9" s="309" t="s">
        <v>249</v>
      </c>
      <c r="B9" s="26">
        <f>FeedstockEE</f>
        <v>1820608.0785630045</v>
      </c>
      <c r="C9" s="310" t="s">
        <v>6</v>
      </c>
      <c r="J9" s="5"/>
      <c r="K9" s="5"/>
      <c r="L9" s="5"/>
    </row>
    <row r="10" spans="1:12" ht="15">
      <c r="A10" s="309" t="s">
        <v>250</v>
      </c>
      <c r="B10" s="26">
        <f>ManufactureEE</f>
        <v>333077.9461126735</v>
      </c>
      <c r="C10" s="327" t="s">
        <v>6</v>
      </c>
      <c r="E10" s="328"/>
      <c r="J10" s="5"/>
      <c r="K10" s="5"/>
      <c r="L10" s="5"/>
    </row>
    <row r="11" spans="1:12" ht="15">
      <c r="A11" s="311" t="s">
        <v>247</v>
      </c>
      <c r="B11" s="308">
        <f>ImportFuel*mj_gal</f>
        <v>44273.52581783143</v>
      </c>
      <c r="C11" s="310" t="s">
        <v>6</v>
      </c>
      <c r="J11" s="5"/>
      <c r="K11" s="5"/>
      <c r="L11" s="5"/>
    </row>
    <row r="12" spans="1:12" ht="30.75" thickBot="1">
      <c r="A12" s="329" t="s">
        <v>248</v>
      </c>
      <c r="B12" s="330">
        <f>DisposalFuel*mj_gal</f>
        <v>11366.655465580954</v>
      </c>
      <c r="C12" s="331" t="s">
        <v>6</v>
      </c>
      <c r="E12" s="328"/>
      <c r="J12" s="5"/>
      <c r="K12" s="5"/>
      <c r="L12" s="5"/>
    </row>
    <row r="13" spans="1:12" s="124" customFormat="1" ht="15.75" thickBot="1">
      <c r="A13" s="332" t="s">
        <v>245</v>
      </c>
      <c r="B13" s="333">
        <f>SUM(B9:B12)</f>
        <v>2209326.2059590905</v>
      </c>
      <c r="C13" s="334" t="s">
        <v>6</v>
      </c>
      <c r="F13" s="121"/>
      <c r="G13" s="121"/>
      <c r="J13" s="121"/>
      <c r="K13" s="121"/>
      <c r="L13" s="121"/>
    </row>
    <row r="14" spans="6:12" s="124" customFormat="1" ht="14.25">
      <c r="F14" s="121"/>
      <c r="G14" s="121"/>
      <c r="J14" s="121"/>
      <c r="K14" s="121"/>
      <c r="L14" s="121"/>
    </row>
    <row r="15" spans="6:12" s="124" customFormat="1" ht="14.25">
      <c r="F15" s="121"/>
      <c r="G15" s="121"/>
      <c r="J15" s="121"/>
      <c r="K15" s="121"/>
      <c r="L15" s="121"/>
    </row>
    <row r="16" spans="1:12" s="124" customFormat="1" ht="14.25">
      <c r="A16" s="751" t="s">
        <v>2</v>
      </c>
      <c r="B16" s="752"/>
      <c r="C16" s="752"/>
      <c r="D16" s="752"/>
      <c r="E16" s="752"/>
      <c r="F16" s="752"/>
      <c r="G16" s="753"/>
      <c r="J16" s="121"/>
      <c r="K16" s="121"/>
      <c r="L16" s="121"/>
    </row>
    <row r="17" spans="1:12" s="124" customFormat="1" ht="14.25">
      <c r="A17" s="754"/>
      <c r="B17" s="755"/>
      <c r="C17" s="755"/>
      <c r="D17" s="755"/>
      <c r="E17" s="755"/>
      <c r="F17" s="755"/>
      <c r="G17" s="756"/>
      <c r="J17" s="121"/>
      <c r="K17" s="121"/>
      <c r="L17" s="121"/>
    </row>
    <row r="18" spans="1:12" s="124" customFormat="1" ht="15">
      <c r="A18" s="312"/>
      <c r="B18" s="313" t="s">
        <v>171</v>
      </c>
      <c r="C18" s="307" t="s">
        <v>41</v>
      </c>
      <c r="D18" s="307" t="s">
        <v>192</v>
      </c>
      <c r="E18" s="106" t="s">
        <v>189</v>
      </c>
      <c r="F18" s="106" t="s">
        <v>158</v>
      </c>
      <c r="G18" s="314" t="s">
        <v>240</v>
      </c>
      <c r="H18" s="121"/>
      <c r="I18" s="121"/>
      <c r="J18" s="121"/>
      <c r="K18" s="121"/>
      <c r="L18" s="121"/>
    </row>
    <row r="19" spans="1:12" s="124" customFormat="1" ht="14.25">
      <c r="A19" s="323"/>
      <c r="B19" s="315" t="s">
        <v>187</v>
      </c>
      <c r="C19" s="315"/>
      <c r="D19" s="315"/>
      <c r="E19" s="315"/>
      <c r="F19" s="316"/>
      <c r="G19" s="317" t="s">
        <v>188</v>
      </c>
      <c r="H19" s="121"/>
      <c r="I19" s="121"/>
      <c r="J19" s="121"/>
      <c r="K19" s="121"/>
      <c r="L19" s="121"/>
    </row>
    <row r="20" spans="1:12" s="124" customFormat="1" ht="15">
      <c r="A20" s="324" t="s">
        <v>66</v>
      </c>
      <c r="B20" s="319">
        <f>((VLOOKUP('User Interface'!$E$20,'Grid Mix'!$A$26:$G$31,2,FALSE))/$E$6*($B$9+B10))</f>
        <v>1165981.6839156263</v>
      </c>
      <c r="C20" s="319">
        <f>((VLOOKUP('User Interface'!$E$20,'Grid Mix'!$A$26:$G$31,3,FALSE))/$E$6*($B$9+B10))+COTransport</f>
        <v>357.85908620418013</v>
      </c>
      <c r="D20" s="319">
        <f>((VLOOKUP('User Interface'!$E$20,'Grid Mix'!$A$26:$G$31,4,FALSE))/$E$6*($B$9+B10))+SOxTransport</f>
        <v>6887.699839225907</v>
      </c>
      <c r="E20" s="319">
        <f>((VLOOKUP('User Interface'!$E$20,'Grid Mix'!$A$26:$G$31,5,FALSE))/$E$6*($B$9+B10))+NOxTransport</f>
        <v>3131.299595800215</v>
      </c>
      <c r="F20" s="319">
        <f>((VLOOKUP('User Interface'!$E$20,'Grid Mix'!$A$26:$G$31,6,FALSE))/$E$6*($B$9+B10))+ParticTransport</f>
        <v>7530.24163455315</v>
      </c>
      <c r="G20" s="320">
        <f>((VLOOKUP('User Interface'!$E$20,'Grid Mix'!$A$26:$G$31,7,FALSE))/$E$6*($B$9+B10))+WaterTransport</f>
        <v>184460.9248672805</v>
      </c>
      <c r="H20" s="121"/>
      <c r="I20" s="121"/>
      <c r="J20" s="121"/>
      <c r="K20" s="121"/>
      <c r="L20" s="121"/>
    </row>
    <row r="21" spans="1:12" s="124" customFormat="1" ht="30.75" thickBot="1">
      <c r="A21" s="325" t="s">
        <v>173</v>
      </c>
      <c r="B21" s="321">
        <f>CO2Transport</f>
        <v>8441.276734037825</v>
      </c>
      <c r="C21" s="321">
        <f>COTransport</f>
        <v>41.24271248576562</v>
      </c>
      <c r="D21" s="321">
        <f>SOxTransport</f>
        <v>0.0922830839864424</v>
      </c>
      <c r="E21" s="321">
        <f>NOxTransport</f>
        <v>92.20931653321581</v>
      </c>
      <c r="F21" s="321">
        <f>ParticTransport</f>
        <v>6.127728216889159</v>
      </c>
      <c r="G21" s="322">
        <f>WaterTransport</f>
        <v>1494.3341245391284</v>
      </c>
      <c r="J21" s="121"/>
      <c r="K21" s="121"/>
      <c r="L21" s="121"/>
    </row>
    <row r="22" spans="1:12" s="124" customFormat="1" ht="15.75" thickBot="1">
      <c r="A22" s="335" t="s">
        <v>68</v>
      </c>
      <c r="B22" s="336">
        <f>B20+CO2Transport</f>
        <v>1174422.960649664</v>
      </c>
      <c r="C22" s="336">
        <f>C20+COTransport</f>
        <v>399.1017986899458</v>
      </c>
      <c r="D22" s="336">
        <f>D20+SOxTransport</f>
        <v>6887.792122309894</v>
      </c>
      <c r="E22" s="336">
        <f>E20+NOxTransport</f>
        <v>3223.5089123334305</v>
      </c>
      <c r="F22" s="336">
        <f>F20+ParticTransport</f>
        <v>7536.3693627700395</v>
      </c>
      <c r="G22" s="337">
        <f>G20+WaterTransport</f>
        <v>185955.25899181963</v>
      </c>
      <c r="J22" s="121"/>
      <c r="K22" s="121"/>
      <c r="L22" s="121"/>
    </row>
    <row r="23" spans="5:12" s="124" customFormat="1" ht="14.25">
      <c r="E23" s="121"/>
      <c r="F23" s="121"/>
      <c r="J23" s="121"/>
      <c r="K23" s="121"/>
      <c r="L23" s="121"/>
    </row>
    <row r="24" spans="1:12" s="124" customFormat="1" ht="14.25">
      <c r="A24" s="124" t="s">
        <v>307</v>
      </c>
      <c r="E24" s="121"/>
      <c r="F24" s="121"/>
      <c r="J24" s="121"/>
      <c r="K24" s="121"/>
      <c r="L24" s="121"/>
    </row>
    <row r="25" s="124" customFormat="1" ht="12.75">
      <c r="A25" s="124" t="str">
        <f>CONCATENATE("Embedded Energy in ",TEXT(ArcataBags,"##,#0")," Arcata Single Use Plastic Bags")</f>
        <v>Embedded Energy in 3,000,000 Arcata Single Use Plastic Bags</v>
      </c>
    </row>
    <row r="26" ht="12.75"/>
    <row r="27" spans="1:2" ht="14.25">
      <c r="A27" s="5"/>
      <c r="B27" s="5"/>
    </row>
    <row r="28" spans="5:12" ht="14.25">
      <c r="E28" s="5"/>
      <c r="F28" s="5"/>
      <c r="G28" s="5"/>
      <c r="H28" s="5"/>
      <c r="I28" s="5"/>
      <c r="J28" s="5"/>
      <c r="K28" s="5"/>
      <c r="L28" s="5"/>
    </row>
    <row r="29" spans="5:12" s="124" customFormat="1" ht="14.25">
      <c r="E29" s="121"/>
      <c r="F29" s="121"/>
      <c r="G29" s="121"/>
      <c r="J29" s="121"/>
      <c r="K29" s="121"/>
      <c r="L29" s="121"/>
    </row>
    <row r="30" spans="2:12" s="124" customFormat="1" ht="14.25">
      <c r="B30" s="318"/>
      <c r="E30" s="121"/>
      <c r="F30" s="121"/>
      <c r="G30" s="121"/>
      <c r="H30" s="121"/>
      <c r="I30" s="121"/>
      <c r="J30" s="121"/>
      <c r="K30" s="121"/>
      <c r="L30" s="121"/>
    </row>
    <row r="31" spans="5:12" s="124" customFormat="1" ht="14.25">
      <c r="E31" s="121"/>
      <c r="F31" s="121"/>
      <c r="G31" s="121"/>
      <c r="H31" s="121"/>
      <c r="I31" s="121"/>
      <c r="J31" s="121"/>
      <c r="K31" s="121"/>
      <c r="L31" s="121"/>
    </row>
    <row r="32" spans="5:12" s="124" customFormat="1" ht="14.25">
      <c r="E32" s="121"/>
      <c r="F32" s="121"/>
      <c r="G32" s="121"/>
      <c r="H32" s="121"/>
      <c r="I32" s="121"/>
      <c r="J32" s="121"/>
      <c r="K32" s="121"/>
      <c r="L32" s="121"/>
    </row>
    <row r="33" spans="2:12" s="124" customFormat="1" ht="14.25">
      <c r="B33" s="121"/>
      <c r="C33" s="121"/>
      <c r="D33" s="121"/>
      <c r="E33" s="121"/>
      <c r="F33" s="121"/>
      <c r="G33" s="121"/>
      <c r="H33" s="121"/>
      <c r="I33" s="121"/>
      <c r="J33" s="121"/>
      <c r="K33" s="121"/>
      <c r="L33" s="121"/>
    </row>
    <row r="34" spans="2:12" s="124" customFormat="1" ht="14.25">
      <c r="B34" s="121"/>
      <c r="C34" s="121"/>
      <c r="D34" s="121"/>
      <c r="E34" s="121"/>
      <c r="F34" s="121"/>
      <c r="G34" s="121"/>
      <c r="H34" s="121"/>
      <c r="I34" s="121"/>
      <c r="J34" s="121"/>
      <c r="K34" s="121"/>
      <c r="L34" s="121"/>
    </row>
    <row r="35" spans="2:12" s="124" customFormat="1" ht="14.25">
      <c r="B35" s="121"/>
      <c r="C35" s="121"/>
      <c r="D35" s="121"/>
      <c r="E35" s="121"/>
      <c r="F35" s="121"/>
      <c r="G35" s="121"/>
      <c r="H35" s="121"/>
      <c r="I35" s="121"/>
      <c r="J35" s="121"/>
      <c r="K35" s="121"/>
      <c r="L35" s="121"/>
    </row>
    <row r="36" spans="2:12" s="124" customFormat="1" ht="14.25">
      <c r="B36" s="121"/>
      <c r="C36" s="121"/>
      <c r="D36" s="121"/>
      <c r="E36" s="121"/>
      <c r="F36" s="121"/>
      <c r="G36" s="121"/>
      <c r="H36" s="121"/>
      <c r="I36" s="121"/>
      <c r="J36" s="121"/>
      <c r="K36" s="121"/>
      <c r="L36" s="121"/>
    </row>
    <row r="37" spans="1:12" ht="14.25">
      <c r="A37" s="5"/>
      <c r="B37" s="5"/>
      <c r="C37" s="5"/>
      <c r="D37" s="5"/>
      <c r="E37" s="5"/>
      <c r="F37" s="5"/>
      <c r="G37" s="5"/>
      <c r="H37" s="5"/>
      <c r="I37" s="5"/>
      <c r="J37" s="5"/>
      <c r="K37" s="5"/>
      <c r="L37" s="5"/>
    </row>
    <row r="38" spans="2:12" ht="14.25">
      <c r="B38" s="5"/>
      <c r="C38" s="5"/>
      <c r="D38" s="5"/>
      <c r="E38" s="5"/>
      <c r="F38" s="5"/>
      <c r="G38" s="5"/>
      <c r="H38" s="5"/>
      <c r="I38" s="5"/>
      <c r="J38" s="5"/>
      <c r="K38" s="5"/>
      <c r="L38" s="5"/>
    </row>
    <row r="39" spans="1:12" ht="14.25">
      <c r="A39" s="5"/>
      <c r="B39" s="5"/>
      <c r="C39" s="5"/>
      <c r="D39" s="5"/>
      <c r="E39" s="5"/>
      <c r="F39" s="5"/>
      <c r="G39" s="5"/>
      <c r="H39" s="5"/>
      <c r="I39" s="5"/>
      <c r="J39" s="5"/>
      <c r="K39" s="5"/>
      <c r="L39" s="5"/>
    </row>
    <row r="40" spans="1:12" ht="14.25">
      <c r="A40" s="5"/>
      <c r="B40" s="5"/>
      <c r="C40" s="5"/>
      <c r="D40" s="5"/>
      <c r="E40" s="5"/>
      <c r="F40" s="5"/>
      <c r="G40" s="5"/>
      <c r="H40" s="5"/>
      <c r="I40" s="5"/>
      <c r="J40" s="5"/>
      <c r="K40" s="5"/>
      <c r="L40" s="5"/>
    </row>
    <row r="41" spans="1:12" ht="14.25">
      <c r="A41" s="5"/>
      <c r="B41" s="5"/>
      <c r="C41" s="5"/>
      <c r="D41" s="5"/>
      <c r="E41" s="5"/>
      <c r="F41" s="5"/>
      <c r="G41" s="5"/>
      <c r="H41" s="5"/>
      <c r="I41" s="5"/>
      <c r="J41" s="5"/>
      <c r="K41" s="5"/>
      <c r="L41" s="5"/>
    </row>
    <row r="42" spans="1:12" ht="14.25">
      <c r="A42" s="5"/>
      <c r="B42" s="5"/>
      <c r="C42" s="5"/>
      <c r="D42" s="5"/>
      <c r="E42" s="5"/>
      <c r="F42" s="5"/>
      <c r="G42" s="5"/>
      <c r="H42" s="5"/>
      <c r="I42" s="5"/>
      <c r="J42" s="5"/>
      <c r="K42" s="5"/>
      <c r="L42" s="5"/>
    </row>
    <row r="43" spans="1:12" ht="14.25">
      <c r="A43" s="5"/>
      <c r="B43" s="5"/>
      <c r="C43" s="5"/>
      <c r="D43" s="5"/>
      <c r="E43" s="5"/>
      <c r="F43" s="5"/>
      <c r="G43" s="5"/>
      <c r="H43" s="5"/>
      <c r="I43" s="5"/>
      <c r="J43" s="5"/>
      <c r="K43" s="5"/>
      <c r="L43" s="5"/>
    </row>
    <row r="44" spans="1:12" ht="14.25">
      <c r="A44" s="5"/>
      <c r="B44" s="5"/>
      <c r="C44" s="5"/>
      <c r="D44" s="5"/>
      <c r="E44" s="5"/>
      <c r="F44" s="5"/>
      <c r="G44" s="5"/>
      <c r="H44" s="5"/>
      <c r="I44" s="5"/>
      <c r="J44" s="5"/>
      <c r="K44" s="5"/>
      <c r="L44" s="5"/>
    </row>
    <row r="45" spans="1:12" ht="14.25">
      <c r="A45" s="5"/>
      <c r="B45" s="5"/>
      <c r="C45" s="5"/>
      <c r="D45" s="5"/>
      <c r="E45" s="5"/>
      <c r="F45" s="5"/>
      <c r="G45" s="5"/>
      <c r="H45" s="5"/>
      <c r="I45" s="5"/>
      <c r="J45" s="5"/>
      <c r="K45" s="5"/>
      <c r="L45" s="5"/>
    </row>
    <row r="46" spans="1:12" ht="14.25">
      <c r="A46" s="5"/>
      <c r="B46" s="5"/>
      <c r="C46" s="5"/>
      <c r="D46" s="5"/>
      <c r="E46" s="5"/>
      <c r="F46" s="5"/>
      <c r="G46" s="5"/>
      <c r="H46" s="5"/>
      <c r="I46" s="5"/>
      <c r="J46" s="5"/>
      <c r="K46" s="5"/>
      <c r="L46" s="5"/>
    </row>
    <row r="47" spans="1:12" ht="14.25">
      <c r="A47" s="5"/>
      <c r="B47" s="5"/>
      <c r="C47" s="5"/>
      <c r="D47" s="5"/>
      <c r="E47" s="5"/>
      <c r="F47" s="5"/>
      <c r="G47" s="5"/>
      <c r="H47" s="5"/>
      <c r="I47" s="5"/>
      <c r="J47" s="5"/>
      <c r="K47" s="5"/>
      <c r="L47" s="5"/>
    </row>
    <row r="48" spans="1:12" ht="14.25">
      <c r="A48" s="5"/>
      <c r="B48" s="5"/>
      <c r="C48" s="5"/>
      <c r="D48" s="5"/>
      <c r="E48" s="5"/>
      <c r="F48" s="5"/>
      <c r="G48" s="5"/>
      <c r="H48" s="5"/>
      <c r="I48" s="5"/>
      <c r="J48" s="5"/>
      <c r="K48" s="5"/>
      <c r="L48" s="5"/>
    </row>
  </sheetData>
  <sheetProtection/>
  <mergeCells count="4">
    <mergeCell ref="A1:F2"/>
    <mergeCell ref="A16:G17"/>
    <mergeCell ref="A7:C8"/>
    <mergeCell ref="E5:F5"/>
  </mergeCells>
  <printOptions/>
  <pageMargins left="0.75" right="0.75" top="1" bottom="1" header="0.5" footer="0.5"/>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N38"/>
  <sheetViews>
    <sheetView zoomScale="85" zoomScaleNormal="85" zoomScalePageLayoutView="0" workbookViewId="0" topLeftCell="A3">
      <selection activeCell="A5" sqref="A5:L9"/>
    </sheetView>
  </sheetViews>
  <sheetFormatPr defaultColWidth="11.00390625" defaultRowHeight="15" customHeight="1"/>
  <cols>
    <col min="1" max="1" width="3.875" style="2" customWidth="1"/>
    <col min="2" max="2" width="12.25390625" style="2" bestFit="1" customWidth="1"/>
    <col min="3" max="3" width="13.125" style="2" customWidth="1"/>
    <col min="4" max="4" width="4.75390625" style="2" customWidth="1"/>
    <col min="5" max="5" width="11.375" style="2" customWidth="1"/>
    <col min="6" max="6" width="13.875" style="2" customWidth="1"/>
    <col min="7" max="7" width="14.25390625" style="2" customWidth="1"/>
    <col min="8" max="8" width="19.25390625" style="2" customWidth="1"/>
    <col min="9" max="9" width="10.00390625" style="2" customWidth="1"/>
    <col min="10" max="16384" width="11.00390625" style="2" customWidth="1"/>
  </cols>
  <sheetData>
    <row r="1" spans="1:9" ht="15" customHeight="1">
      <c r="A1" s="597" t="s">
        <v>193</v>
      </c>
      <c r="B1" s="598"/>
      <c r="C1" s="598"/>
      <c r="D1" s="598"/>
      <c r="E1" s="598"/>
      <c r="F1" s="598"/>
      <c r="G1" s="598"/>
      <c r="H1" s="599"/>
      <c r="I1" s="5"/>
    </row>
    <row r="2" spans="1:9" ht="15" customHeight="1">
      <c r="A2" s="600"/>
      <c r="B2" s="601"/>
      <c r="C2" s="601"/>
      <c r="D2" s="601"/>
      <c r="E2" s="601"/>
      <c r="F2" s="601"/>
      <c r="G2" s="601"/>
      <c r="H2" s="602"/>
      <c r="I2" s="5"/>
    </row>
    <row r="3" spans="1:12" ht="15" customHeight="1" thickBot="1">
      <c r="A3" s="603"/>
      <c r="B3" s="604"/>
      <c r="C3" s="604"/>
      <c r="D3" s="604"/>
      <c r="E3" s="604"/>
      <c r="F3" s="604"/>
      <c r="G3" s="604"/>
      <c r="H3" s="605"/>
      <c r="I3" s="5"/>
      <c r="J3" s="8"/>
      <c r="L3" s="8"/>
    </row>
    <row r="4" spans="1:12" ht="15" customHeight="1">
      <c r="A4" s="338"/>
      <c r="B4" s="338"/>
      <c r="C4" s="338"/>
      <c r="D4" s="338"/>
      <c r="E4" s="338"/>
      <c r="F4" s="338"/>
      <c r="G4" s="5"/>
      <c r="H4" s="5"/>
      <c r="I4" s="5"/>
      <c r="J4" s="8"/>
      <c r="K4" s="5"/>
      <c r="L4" s="8"/>
    </row>
    <row r="5" spans="1:12" ht="15" customHeight="1">
      <c r="A5" s="606" t="s">
        <v>308</v>
      </c>
      <c r="B5" s="607"/>
      <c r="C5" s="607"/>
      <c r="D5" s="607"/>
      <c r="E5" s="607"/>
      <c r="F5" s="607"/>
      <c r="G5" s="607"/>
      <c r="H5" s="607"/>
      <c r="I5" s="607"/>
      <c r="J5" s="607"/>
      <c r="K5" s="607"/>
      <c r="L5" s="608"/>
    </row>
    <row r="6" spans="1:12" ht="15" customHeight="1">
      <c r="A6" s="609"/>
      <c r="B6" s="610"/>
      <c r="C6" s="610"/>
      <c r="D6" s="610"/>
      <c r="E6" s="610"/>
      <c r="F6" s="610"/>
      <c r="G6" s="610"/>
      <c r="H6" s="610"/>
      <c r="I6" s="610"/>
      <c r="J6" s="610"/>
      <c r="K6" s="610"/>
      <c r="L6" s="611"/>
    </row>
    <row r="7" spans="1:12" ht="15" customHeight="1">
      <c r="A7" s="609"/>
      <c r="B7" s="610"/>
      <c r="C7" s="610"/>
      <c r="D7" s="610"/>
      <c r="E7" s="610"/>
      <c r="F7" s="610"/>
      <c r="G7" s="610"/>
      <c r="H7" s="610"/>
      <c r="I7" s="610"/>
      <c r="J7" s="610"/>
      <c r="K7" s="610"/>
      <c r="L7" s="611"/>
    </row>
    <row r="8" spans="1:12" ht="15" customHeight="1">
      <c r="A8" s="609"/>
      <c r="B8" s="610"/>
      <c r="C8" s="610"/>
      <c r="D8" s="610"/>
      <c r="E8" s="610"/>
      <c r="F8" s="610"/>
      <c r="G8" s="610"/>
      <c r="H8" s="610"/>
      <c r="I8" s="610"/>
      <c r="J8" s="610"/>
      <c r="K8" s="610"/>
      <c r="L8" s="611"/>
    </row>
    <row r="9" spans="1:12" s="124" customFormat="1" ht="15" customHeight="1">
      <c r="A9" s="612"/>
      <c r="B9" s="613"/>
      <c r="C9" s="613"/>
      <c r="D9" s="613"/>
      <c r="E9" s="613"/>
      <c r="F9" s="613"/>
      <c r="G9" s="613"/>
      <c r="H9" s="613"/>
      <c r="I9" s="613"/>
      <c r="J9" s="613"/>
      <c r="K9" s="613"/>
      <c r="L9" s="614"/>
    </row>
    <row r="11" spans="1:14" ht="15" customHeight="1">
      <c r="A11" s="590" t="s">
        <v>194</v>
      </c>
      <c r="B11" s="591"/>
      <c r="C11" s="591"/>
      <c r="D11" s="591"/>
      <c r="E11" s="591"/>
      <c r="F11" s="591"/>
      <c r="G11" s="591"/>
      <c r="H11" s="591"/>
      <c r="I11" s="591"/>
      <c r="J11" s="591"/>
      <c r="K11" s="591"/>
      <c r="L11" s="591"/>
      <c r="M11" s="383"/>
      <c r="N11" s="384"/>
    </row>
    <row r="12" spans="1:14" ht="15" customHeight="1">
      <c r="A12" s="592"/>
      <c r="B12" s="593"/>
      <c r="C12" s="593"/>
      <c r="D12" s="593"/>
      <c r="E12" s="593"/>
      <c r="F12" s="593"/>
      <c r="G12" s="593"/>
      <c r="H12" s="593"/>
      <c r="I12" s="593"/>
      <c r="J12" s="593"/>
      <c r="K12" s="593"/>
      <c r="L12" s="593"/>
      <c r="M12" s="385"/>
      <c r="N12" s="386"/>
    </row>
    <row r="13" spans="7:12" ht="15" customHeight="1">
      <c r="G13" s="550"/>
      <c r="H13" s="550"/>
      <c r="I13" s="550"/>
      <c r="J13" s="550"/>
      <c r="K13" s="550"/>
      <c r="L13" s="380"/>
    </row>
    <row r="14" spans="2:14" ht="15" customHeight="1">
      <c r="B14" s="620" t="s">
        <v>33</v>
      </c>
      <c r="C14" s="621"/>
      <c r="D14" s="622"/>
      <c r="E14" s="420">
        <v>3000000</v>
      </c>
      <c r="F14" s="391"/>
      <c r="G14" s="550"/>
      <c r="H14" s="625" t="s">
        <v>303</v>
      </c>
      <c r="I14" s="626"/>
      <c r="J14" s="550"/>
      <c r="K14" s="550"/>
      <c r="L14" s="380"/>
      <c r="M14" s="380"/>
      <c r="N14" s="380"/>
    </row>
    <row r="15" spans="1:10" ht="15" customHeight="1">
      <c r="A15" s="5"/>
      <c r="B15" s="615" t="s">
        <v>79</v>
      </c>
      <c r="C15" s="616"/>
      <c r="D15" s="617"/>
      <c r="E15" s="421">
        <v>0.02</v>
      </c>
      <c r="F15" s="392"/>
      <c r="G15" s="5"/>
      <c r="H15" s="381" t="s">
        <v>111</v>
      </c>
      <c r="I15" s="382" t="s">
        <v>80</v>
      </c>
      <c r="J15" s="5"/>
    </row>
    <row r="16" spans="5:10" ht="15" customHeight="1">
      <c r="E16" s="471"/>
      <c r="F16" s="471"/>
      <c r="G16" s="5"/>
      <c r="H16" s="352" t="s">
        <v>112</v>
      </c>
      <c r="I16" s="393">
        <v>0.1</v>
      </c>
      <c r="J16" s="5"/>
    </row>
    <row r="17" spans="2:10" ht="15" customHeight="1">
      <c r="B17" s="620" t="s">
        <v>13</v>
      </c>
      <c r="C17" s="621"/>
      <c r="D17" s="622"/>
      <c r="E17" s="623" t="s">
        <v>101</v>
      </c>
      <c r="F17" s="624"/>
      <c r="G17" s="121"/>
      <c r="H17" s="353" t="s">
        <v>74</v>
      </c>
      <c r="I17" s="393">
        <v>0.2</v>
      </c>
      <c r="J17" s="121"/>
    </row>
    <row r="18" spans="1:9" ht="15" customHeight="1">
      <c r="A18" s="125"/>
      <c r="B18" s="620" t="s">
        <v>260</v>
      </c>
      <c r="C18" s="621"/>
      <c r="D18" s="622"/>
      <c r="E18" s="623" t="s">
        <v>105</v>
      </c>
      <c r="F18" s="624"/>
      <c r="H18" s="353" t="s">
        <v>75</v>
      </c>
      <c r="I18" s="393">
        <v>0.1</v>
      </c>
    </row>
    <row r="19" spans="5:10" ht="15" customHeight="1">
      <c r="E19" s="471"/>
      <c r="F19" s="471"/>
      <c r="H19" s="354" t="s">
        <v>76</v>
      </c>
      <c r="I19" s="394">
        <v>0.6</v>
      </c>
      <c r="J19" s="5"/>
    </row>
    <row r="20" spans="2:10" ht="15" customHeight="1">
      <c r="B20" s="587" t="s">
        <v>306</v>
      </c>
      <c r="C20" s="587"/>
      <c r="D20" s="587"/>
      <c r="E20" s="588" t="s">
        <v>107</v>
      </c>
      <c r="F20" s="589"/>
      <c r="G20" s="5"/>
      <c r="H20" s="355" t="s">
        <v>18</v>
      </c>
      <c r="I20" s="144">
        <f>SUM(I16:I19)</f>
        <v>1</v>
      </c>
      <c r="J20" s="389">
        <f>IF(I20&gt;0.99,IF(I20&lt;1.01,"","&lt;--Must add to 100%"),"&lt;--Must add to 100%")</f>
      </c>
    </row>
    <row r="21" spans="8:12" ht="15" customHeight="1">
      <c r="H21" s="473"/>
      <c r="I21" s="473"/>
      <c r="J21" s="473"/>
      <c r="K21" s="473"/>
      <c r="L21" s="472"/>
    </row>
    <row r="22" spans="1:14" ht="15" customHeight="1">
      <c r="A22" s="590" t="s">
        <v>256</v>
      </c>
      <c r="B22" s="591"/>
      <c r="C22" s="591"/>
      <c r="D22" s="591"/>
      <c r="E22" s="591"/>
      <c r="F22" s="591"/>
      <c r="G22" s="591"/>
      <c r="H22" s="591"/>
      <c r="I22" s="591"/>
      <c r="J22" s="591"/>
      <c r="K22" s="591"/>
      <c r="L22" s="591"/>
      <c r="M22" s="383"/>
      <c r="N22" s="384"/>
    </row>
    <row r="23" spans="1:14" ht="15" customHeight="1">
      <c r="A23" s="592"/>
      <c r="B23" s="593"/>
      <c r="C23" s="593"/>
      <c r="D23" s="593"/>
      <c r="E23" s="593"/>
      <c r="F23" s="593"/>
      <c r="G23" s="593"/>
      <c r="H23" s="593"/>
      <c r="I23" s="593"/>
      <c r="J23" s="593"/>
      <c r="K23" s="593"/>
      <c r="L23" s="593"/>
      <c r="M23" s="385"/>
      <c r="N23" s="386"/>
    </row>
    <row r="24" ht="15" customHeight="1" thickBot="1"/>
    <row r="25" spans="2:8" ht="15" customHeight="1" thickBot="1">
      <c r="B25" s="594" t="s">
        <v>275</v>
      </c>
      <c r="C25" s="595"/>
      <c r="D25" s="596"/>
      <c r="F25" s="577" t="s">
        <v>276</v>
      </c>
      <c r="G25" s="578"/>
      <c r="H25" s="579"/>
    </row>
    <row r="26" spans="2:8" ht="15" customHeight="1">
      <c r="B26" s="618" t="s">
        <v>119</v>
      </c>
      <c r="C26" s="619"/>
      <c r="D26" s="474"/>
      <c r="F26" s="552">
        <f>TotalEnergy*1/'More Comparisons'!$J$11*'More Comparisons'!$J$12*1/('More Comparisons'!$J$10*'More Comparisons'!$J$13)</f>
        <v>1826493.2258259675</v>
      </c>
      <c r="G26" s="582" t="s">
        <v>274</v>
      </c>
      <c r="H26" s="582"/>
    </row>
    <row r="27" spans="2:8" ht="15" customHeight="1">
      <c r="B27" s="340"/>
      <c r="C27" s="448">
        <f>TotalDiesel</f>
        <v>380.23769072242453</v>
      </c>
      <c r="D27" s="341" t="s">
        <v>175</v>
      </c>
      <c r="F27" s="552">
        <f>TotalEnergy/'More Comparisons'!L32</f>
        <v>1108.5757231790005</v>
      </c>
      <c r="G27" s="583" t="s">
        <v>294</v>
      </c>
      <c r="H27" s="583"/>
    </row>
    <row r="28" spans="2:8" ht="15" customHeight="1">
      <c r="B28" s="475"/>
      <c r="C28" s="279"/>
      <c r="D28" s="476"/>
      <c r="F28" s="552">
        <f>TotalEnergy/(('More Comparisons'!L41+'More Comparisons'!L42)*'More Comparisons'!L38*'More Comparisons'!L39/'More Comparisons'!L40*'More Comparisons'!L37)</f>
        <v>777.9026625282477</v>
      </c>
      <c r="G28" s="584" t="s">
        <v>300</v>
      </c>
      <c r="H28" s="584"/>
    </row>
    <row r="29" spans="2:8" ht="15" customHeight="1">
      <c r="B29" s="351" t="s">
        <v>67</v>
      </c>
      <c r="C29" s="450">
        <f>TotalEnergy</f>
        <v>2209326.2059590905</v>
      </c>
      <c r="D29" s="341" t="s">
        <v>6</v>
      </c>
      <c r="E29" s="121"/>
      <c r="F29" s="121"/>
      <c r="G29" s="584" t="s">
        <v>309</v>
      </c>
      <c r="H29" s="584"/>
    </row>
    <row r="30" spans="2:8" ht="15" customHeight="1">
      <c r="B30" s="475"/>
      <c r="C30" s="346"/>
      <c r="D30" s="341"/>
      <c r="E30" s="121"/>
      <c r="F30" s="5"/>
      <c r="G30" s="5"/>
      <c r="H30" s="5"/>
    </row>
    <row r="31" spans="2:8" ht="15" customHeight="1">
      <c r="B31" s="585" t="s">
        <v>68</v>
      </c>
      <c r="C31" s="586"/>
      <c r="D31" s="341"/>
      <c r="E31" s="121"/>
      <c r="F31" s="5"/>
      <c r="G31" s="5"/>
      <c r="H31" s="5"/>
    </row>
    <row r="32" spans="1:8" ht="15" customHeight="1">
      <c r="A32" s="8"/>
      <c r="B32" s="340" t="s">
        <v>258</v>
      </c>
      <c r="C32" s="448">
        <f>TotalCO2</f>
        <v>1174422.960649664</v>
      </c>
      <c r="D32" s="341" t="s">
        <v>195</v>
      </c>
      <c r="E32" s="121"/>
      <c r="F32" s="577" t="s">
        <v>284</v>
      </c>
      <c r="G32" s="578"/>
      <c r="H32" s="579"/>
    </row>
    <row r="33" spans="1:8" ht="15" customHeight="1">
      <c r="A33" s="8"/>
      <c r="B33" s="340" t="s">
        <v>41</v>
      </c>
      <c r="C33" s="449">
        <f>TotalCO</f>
        <v>399.1017986899458</v>
      </c>
      <c r="D33" s="341" t="s">
        <v>195</v>
      </c>
      <c r="E33" s="5"/>
      <c r="F33" s="551">
        <f>'User Interface'!C32/'More Comparisons'!L52</f>
        <v>13359.38219118349</v>
      </c>
      <c r="G33" s="580" t="s">
        <v>294</v>
      </c>
      <c r="H33" s="580"/>
    </row>
    <row r="34" spans="1:8" ht="15" customHeight="1">
      <c r="A34" s="5"/>
      <c r="B34" s="342" t="s">
        <v>192</v>
      </c>
      <c r="C34" s="449">
        <f>TotalSOx</f>
        <v>6887.792122309894</v>
      </c>
      <c r="D34" s="341" t="s">
        <v>195</v>
      </c>
      <c r="E34" s="5"/>
      <c r="F34" s="551">
        <f>TotalCO2/'More Comparisons'!L60</f>
        <v>2669.1430923856</v>
      </c>
      <c r="G34" s="581" t="s">
        <v>292</v>
      </c>
      <c r="H34" s="581"/>
    </row>
    <row r="35" spans="1:8" ht="15" customHeight="1">
      <c r="A35" s="5"/>
      <c r="B35" s="340" t="s">
        <v>189</v>
      </c>
      <c r="C35" s="449">
        <f>[0]!TotalNOx</f>
        <v>3223.5089123334305</v>
      </c>
      <c r="D35" s="341" t="s">
        <v>195</v>
      </c>
      <c r="E35" s="5"/>
      <c r="F35" s="551">
        <f>TotalCO2/'More Comparisons'!L61</f>
        <v>1215.7587584365053</v>
      </c>
      <c r="G35" s="581" t="s">
        <v>293</v>
      </c>
      <c r="H35" s="581"/>
    </row>
    <row r="36" spans="1:6" ht="15" customHeight="1">
      <c r="A36" s="5"/>
      <c r="B36" s="340" t="s">
        <v>120</v>
      </c>
      <c r="C36" s="449">
        <f>TotalPartic</f>
        <v>7536.3693627700395</v>
      </c>
      <c r="D36" s="341" t="s">
        <v>195</v>
      </c>
      <c r="E36" s="5"/>
      <c r="F36" s="5"/>
    </row>
    <row r="37" spans="2:4" ht="15" customHeight="1">
      <c r="B37" s="340" t="s">
        <v>121</v>
      </c>
      <c r="C37" s="449">
        <f>TotalWater</f>
        <v>185955.25899181963</v>
      </c>
      <c r="D37" s="341" t="s">
        <v>175</v>
      </c>
    </row>
    <row r="38" spans="2:4" ht="15" customHeight="1" thickBot="1">
      <c r="B38" s="343"/>
      <c r="C38" s="344"/>
      <c r="D38" s="345"/>
    </row>
  </sheetData>
  <sheetProtection/>
  <mergeCells count="25">
    <mergeCell ref="A1:H3"/>
    <mergeCell ref="A5:L9"/>
    <mergeCell ref="B15:D15"/>
    <mergeCell ref="A11:L12"/>
    <mergeCell ref="B26:C26"/>
    <mergeCell ref="B18:D18"/>
    <mergeCell ref="E18:F18"/>
    <mergeCell ref="H14:I14"/>
    <mergeCell ref="B14:D14"/>
    <mergeCell ref="B17:D17"/>
    <mergeCell ref="E17:F17"/>
    <mergeCell ref="B31:C31"/>
    <mergeCell ref="B20:D20"/>
    <mergeCell ref="E20:F20"/>
    <mergeCell ref="A22:L23"/>
    <mergeCell ref="B25:D25"/>
    <mergeCell ref="F25:H25"/>
    <mergeCell ref="F32:H32"/>
    <mergeCell ref="G33:H33"/>
    <mergeCell ref="G34:H34"/>
    <mergeCell ref="G35:H35"/>
    <mergeCell ref="G26:H26"/>
    <mergeCell ref="G27:H27"/>
    <mergeCell ref="G28:H28"/>
    <mergeCell ref="G29:H29"/>
  </mergeCells>
  <dataValidations count="3">
    <dataValidation type="list" allowBlank="1" showInputMessage="1" showErrorMessage="1" sqref="E18">
      <formula1>PortNames</formula1>
    </dataValidation>
    <dataValidation type="list" allowBlank="1" showInputMessage="1" showErrorMessage="1" sqref="E17">
      <formula1>Distributors</formula1>
    </dataValidation>
    <dataValidation type="list" allowBlank="1" showInputMessage="1" showErrorMessage="1" sqref="E20">
      <formula1>PowerGridEmissions</formula1>
    </dataValidation>
  </dataValidations>
  <printOptions/>
  <pageMargins left="0.75" right="0.75" top="1" bottom="1" header="0.5" footer="0.5"/>
  <pageSetup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N66"/>
  <sheetViews>
    <sheetView zoomScale="85" zoomScaleNormal="85" zoomScalePageLayoutView="0" workbookViewId="0" topLeftCell="A28">
      <selection activeCell="A8" sqref="A8"/>
    </sheetView>
  </sheetViews>
  <sheetFormatPr defaultColWidth="9.00390625" defaultRowHeight="12.75"/>
  <cols>
    <col min="1" max="5" width="9.00390625" style="10" customWidth="1"/>
    <col min="6" max="6" width="9.375" style="10" customWidth="1"/>
    <col min="7" max="7" width="9.00390625" style="10" customWidth="1"/>
    <col min="8" max="8" width="9.75390625" style="10" customWidth="1"/>
    <col min="9" max="9" width="12.125" style="10" customWidth="1"/>
    <col min="10" max="10" width="14.50390625" style="10" customWidth="1"/>
    <col min="11" max="11" width="14.625" style="10" customWidth="1"/>
    <col min="12" max="12" width="12.375" style="10" customWidth="1"/>
    <col min="13" max="13" width="10.875" style="10" bestFit="1" customWidth="1"/>
    <col min="14" max="16384" width="9.00390625" style="10" customWidth="1"/>
  </cols>
  <sheetData>
    <row r="1" spans="1:9" ht="15" customHeight="1">
      <c r="A1" s="597" t="s">
        <v>301</v>
      </c>
      <c r="B1" s="598"/>
      <c r="C1" s="598"/>
      <c r="D1" s="598"/>
      <c r="E1" s="598"/>
      <c r="F1" s="598"/>
      <c r="G1" s="598"/>
      <c r="H1" s="598"/>
      <c r="I1" s="599"/>
    </row>
    <row r="2" spans="1:9" ht="15" customHeight="1">
      <c r="A2" s="600"/>
      <c r="B2" s="601"/>
      <c r="C2" s="601"/>
      <c r="D2" s="601"/>
      <c r="E2" s="601"/>
      <c r="F2" s="601"/>
      <c r="G2" s="601"/>
      <c r="H2" s="601"/>
      <c r="I2" s="602"/>
    </row>
    <row r="3" spans="1:9" ht="15.75" customHeight="1" thickBot="1">
      <c r="A3" s="603"/>
      <c r="B3" s="604"/>
      <c r="C3" s="604"/>
      <c r="D3" s="604"/>
      <c r="E3" s="604"/>
      <c r="F3" s="604"/>
      <c r="G3" s="604"/>
      <c r="H3" s="604"/>
      <c r="I3" s="605"/>
    </row>
    <row r="4" ht="15"/>
    <row r="5" ht="15"/>
    <row r="6" ht="15"/>
    <row r="7" spans="1:3" s="470" customFormat="1" ht="18">
      <c r="A7" s="650" t="s">
        <v>291</v>
      </c>
      <c r="B7" s="651"/>
      <c r="C7" s="651"/>
    </row>
    <row r="8" ht="15"/>
    <row r="9" spans="10:11" ht="15">
      <c r="J9" s="664" t="s">
        <v>57</v>
      </c>
      <c r="K9" s="666"/>
    </row>
    <row r="10" spans="8:11" ht="15">
      <c r="H10" s="429"/>
      <c r="I10" s="429"/>
      <c r="J10" s="445">
        <v>24</v>
      </c>
      <c r="K10" s="482" t="s">
        <v>216</v>
      </c>
    </row>
    <row r="11" spans="1:11" ht="15">
      <c r="A11" s="667" t="str">
        <f>CONCATENATE("The energy used for ",TEXT(ArcataBags,"##,#0")," bags could light ",TEXT(ROUND(TotalEnergy*1/J11*J12*1/(J10*J13),0),"##,#0")," 14-watt CFLs for an entire day.")</f>
        <v>The energy used for 3,000,000 bags could light 1,826,493 14-watt CFLs for an entire day.</v>
      </c>
      <c r="B11" s="668"/>
      <c r="C11" s="668"/>
      <c r="D11" s="668"/>
      <c r="E11" s="668"/>
      <c r="F11" s="668"/>
      <c r="G11" s="669"/>
      <c r="H11" s="423"/>
      <c r="I11" s="423"/>
      <c r="J11" s="446">
        <v>3.6</v>
      </c>
      <c r="K11" s="483" t="s">
        <v>92</v>
      </c>
    </row>
    <row r="12" spans="1:11" s="425" customFormat="1" ht="15">
      <c r="A12" s="670"/>
      <c r="B12" s="671"/>
      <c r="C12" s="671"/>
      <c r="D12" s="671"/>
      <c r="E12" s="671"/>
      <c r="F12" s="671"/>
      <c r="G12" s="672"/>
      <c r="H12" s="432"/>
      <c r="I12" s="432"/>
      <c r="J12" s="446">
        <v>1000</v>
      </c>
      <c r="K12" s="483" t="s">
        <v>264</v>
      </c>
    </row>
    <row r="13" spans="10:11" ht="15">
      <c r="J13" s="447">
        <v>14</v>
      </c>
      <c r="K13" s="484" t="s">
        <v>265</v>
      </c>
    </row>
    <row r="14" ht="15"/>
    <row r="15" s="435" customFormat="1" ht="15">
      <c r="F15" s="436"/>
    </row>
    <row r="16" s="2" customFormat="1" ht="12.75"/>
    <row r="17" spans="6:12" s="425" customFormat="1" ht="15">
      <c r="F17" s="432"/>
      <c r="J17" s="664" t="s">
        <v>57</v>
      </c>
      <c r="K17" s="665"/>
      <c r="L17" s="666"/>
    </row>
    <row r="18" spans="1:14" ht="15" customHeight="1">
      <c r="A18" s="655" t="str">
        <f>CONCATENATE("The energy used for ",TEXT(ArcataBags,"##,#0")," bags could be saved by ",ROUND(J23/J22,1)," McKinleyville residents commuting to Arcata for an entire school year by bike instead of car.")</f>
        <v>The energy used for 3,000,000 bags could be saved by 202.9 McKinleyville residents commuting to Arcata for an entire school year by bike instead of car.</v>
      </c>
      <c r="B18" s="656"/>
      <c r="C18" s="656"/>
      <c r="D18" s="656"/>
      <c r="E18" s="656"/>
      <c r="F18" s="656"/>
      <c r="G18" s="656"/>
      <c r="H18" s="657"/>
      <c r="J18" s="424">
        <v>15</v>
      </c>
      <c r="K18" s="675" t="s">
        <v>270</v>
      </c>
      <c r="L18" s="676"/>
      <c r="M18" s="431"/>
      <c r="N18" s="431"/>
    </row>
    <row r="19" spans="1:12" ht="15">
      <c r="A19" s="658"/>
      <c r="B19" s="659"/>
      <c r="C19" s="659"/>
      <c r="D19" s="659"/>
      <c r="E19" s="659"/>
      <c r="F19" s="659"/>
      <c r="G19" s="659"/>
      <c r="H19" s="660"/>
      <c r="J19" s="424">
        <v>25</v>
      </c>
      <c r="K19" s="477" t="s">
        <v>267</v>
      </c>
      <c r="L19" s="478"/>
    </row>
    <row r="20" spans="1:12" ht="15">
      <c r="A20" s="658"/>
      <c r="B20" s="659"/>
      <c r="C20" s="659"/>
      <c r="D20" s="659"/>
      <c r="E20" s="659"/>
      <c r="F20" s="659"/>
      <c r="G20" s="659"/>
      <c r="H20" s="660"/>
      <c r="J20" s="424">
        <v>150</v>
      </c>
      <c r="K20" s="675" t="s">
        <v>262</v>
      </c>
      <c r="L20" s="676"/>
    </row>
    <row r="21" spans="1:12" s="425" customFormat="1" ht="15">
      <c r="A21" s="661"/>
      <c r="B21" s="662"/>
      <c r="C21" s="662"/>
      <c r="D21" s="662"/>
      <c r="E21" s="662"/>
      <c r="F21" s="662"/>
      <c r="G21" s="662"/>
      <c r="H21" s="663"/>
      <c r="J21" s="424">
        <v>121</v>
      </c>
      <c r="K21" s="477" t="s">
        <v>268</v>
      </c>
      <c r="L21" s="479"/>
    </row>
    <row r="22" spans="6:12" ht="15">
      <c r="F22" s="433"/>
      <c r="G22" s="433"/>
      <c r="H22" s="433"/>
      <c r="J22" s="424">
        <f>J18/J19*J21*J20</f>
        <v>10890</v>
      </c>
      <c r="K22" s="477" t="s">
        <v>261</v>
      </c>
      <c r="L22" s="478"/>
    </row>
    <row r="23" spans="6:12" ht="15">
      <c r="F23" s="429"/>
      <c r="G23" s="429"/>
      <c r="J23" s="430">
        <f>TotalEnergy</f>
        <v>2209326.2059590905</v>
      </c>
      <c r="K23" s="480" t="s">
        <v>269</v>
      </c>
      <c r="L23" s="481"/>
    </row>
    <row r="24" spans="7:12" ht="15">
      <c r="G24" s="429"/>
      <c r="J24" s="433"/>
      <c r="K24" s="433"/>
      <c r="L24" s="429"/>
    </row>
    <row r="25" spans="10:11" s="436" customFormat="1" ht="15">
      <c r="J25" s="453"/>
      <c r="K25" s="453"/>
    </row>
    <row r="26" spans="7:12" ht="15">
      <c r="G26" s="429"/>
      <c r="J26" s="433"/>
      <c r="K26" s="433"/>
      <c r="L26" s="429"/>
    </row>
    <row r="27" spans="7:13" ht="15">
      <c r="G27" s="429"/>
      <c r="J27" s="645" t="s">
        <v>57</v>
      </c>
      <c r="K27" s="646"/>
      <c r="L27" s="646"/>
      <c r="M27" s="647"/>
    </row>
    <row r="28" spans="1:13" ht="15">
      <c r="A28" s="635" t="str">
        <f>CONCATENATE("The amount of energy used for ",TEXT(ArcataBags,"##,#0")," bags is equal to ",TEXT(ROUND((TotalEnergy/L32),0),"##,##0")," one way trips to San Francisco in a 2010 Chevy Tahoe.")</f>
        <v>The amount of energy used for 3,000,000 bags is equal to 1,109 one way trips to San Francisco in a 2010 Chevy Tahoe.</v>
      </c>
      <c r="B28" s="636"/>
      <c r="C28" s="636"/>
      <c r="D28" s="636"/>
      <c r="E28" s="636"/>
      <c r="F28" s="636"/>
      <c r="G28" s="636"/>
      <c r="H28" s="637"/>
      <c r="J28" s="458"/>
      <c r="K28" s="459"/>
      <c r="L28" s="460">
        <v>121</v>
      </c>
      <c r="M28" s="461" t="s">
        <v>268</v>
      </c>
    </row>
    <row r="29" spans="1:13" ht="15">
      <c r="A29" s="638"/>
      <c r="B29" s="639"/>
      <c r="C29" s="639"/>
      <c r="D29" s="639"/>
      <c r="E29" s="639"/>
      <c r="F29" s="639"/>
      <c r="G29" s="639"/>
      <c r="H29" s="640"/>
      <c r="J29" s="641" t="s">
        <v>286</v>
      </c>
      <c r="K29" s="642"/>
      <c r="L29" s="460">
        <v>17</v>
      </c>
      <c r="M29" s="461" t="s">
        <v>47</v>
      </c>
    </row>
    <row r="30" spans="7:13" ht="15">
      <c r="G30" s="429"/>
      <c r="J30" s="641" t="s">
        <v>287</v>
      </c>
      <c r="K30" s="642"/>
      <c r="L30" s="460">
        <v>280</v>
      </c>
      <c r="M30" s="461" t="s">
        <v>54</v>
      </c>
    </row>
    <row r="31" spans="7:13" ht="15">
      <c r="G31" s="429"/>
      <c r="J31" s="641" t="s">
        <v>288</v>
      </c>
      <c r="K31" s="642"/>
      <c r="L31" s="462">
        <f>L30/L29</f>
        <v>16.470588235294116</v>
      </c>
      <c r="M31" s="463" t="s">
        <v>175</v>
      </c>
    </row>
    <row r="32" spans="7:13" ht="15">
      <c r="G32" s="429"/>
      <c r="J32" s="648" t="s">
        <v>289</v>
      </c>
      <c r="K32" s="649"/>
      <c r="L32" s="464">
        <f>L28/L29*L30</f>
        <v>1992.941176470588</v>
      </c>
      <c r="M32" s="465" t="s">
        <v>285</v>
      </c>
    </row>
    <row r="33" ht="15">
      <c r="G33" s="429"/>
    </row>
    <row r="34" spans="10:11" s="436" customFormat="1" ht="15">
      <c r="J34" s="453"/>
      <c r="K34" s="453"/>
    </row>
    <row r="35" spans="7:12" ht="15">
      <c r="G35" s="429"/>
      <c r="J35" s="433"/>
      <c r="K35" s="433"/>
      <c r="L35" s="429"/>
    </row>
    <row r="36" spans="7:13" ht="15">
      <c r="G36" s="429"/>
      <c r="J36" s="652" t="s">
        <v>57</v>
      </c>
      <c r="K36" s="653"/>
      <c r="L36" s="653"/>
      <c r="M36" s="654"/>
    </row>
    <row r="37" spans="1:13" ht="14.25">
      <c r="A37" s="2"/>
      <c r="B37" s="2"/>
      <c r="C37" s="2"/>
      <c r="D37" s="2"/>
      <c r="E37" s="2"/>
      <c r="F37" s="2"/>
      <c r="G37" s="2"/>
      <c r="H37" s="2"/>
      <c r="I37" s="2"/>
      <c r="J37" s="489"/>
      <c r="K37" s="490"/>
      <c r="L37" s="487">
        <v>3.6</v>
      </c>
      <c r="M37" s="488" t="s">
        <v>92</v>
      </c>
    </row>
    <row r="38" spans="1:13" ht="15">
      <c r="A38" s="635" t="str">
        <f>CONCATENATE("The amount of energy used for ",TEXT(ArcataBags,"##,#0")," bags is equal to ",TEXT(ROUND((TotalEnergy/((L41+L42)*L38*L39/L40*L37)),0),"##,##0")," desktop computers in use 8 hours a day for one year.")</f>
        <v>The amount of energy used for 3,000,000 bags is equal to 778 desktop computers in use 8 hours a day for one year.</v>
      </c>
      <c r="B38" s="636"/>
      <c r="C38" s="636"/>
      <c r="D38" s="636"/>
      <c r="E38" s="636"/>
      <c r="F38" s="636"/>
      <c r="G38" s="636"/>
      <c r="H38" s="637"/>
      <c r="J38" s="458"/>
      <c r="K38" s="459" t="s">
        <v>299</v>
      </c>
      <c r="L38" s="460">
        <v>8</v>
      </c>
      <c r="M38" s="461" t="s">
        <v>216</v>
      </c>
    </row>
    <row r="39" spans="1:13" ht="15">
      <c r="A39" s="638"/>
      <c r="B39" s="639"/>
      <c r="C39" s="639"/>
      <c r="D39" s="639"/>
      <c r="E39" s="639"/>
      <c r="F39" s="639"/>
      <c r="G39" s="639"/>
      <c r="H39" s="640"/>
      <c r="J39" s="458"/>
      <c r="K39" s="468"/>
      <c r="L39" s="468">
        <v>365.24</v>
      </c>
      <c r="M39" s="463" t="s">
        <v>297</v>
      </c>
    </row>
    <row r="40" spans="7:13" ht="15">
      <c r="G40" s="429"/>
      <c r="J40" s="458"/>
      <c r="K40" s="468"/>
      <c r="L40" s="468">
        <v>1000</v>
      </c>
      <c r="M40" s="463" t="s">
        <v>298</v>
      </c>
    </row>
    <row r="41" spans="7:13" ht="15">
      <c r="G41" s="429"/>
      <c r="J41" s="641" t="s">
        <v>295</v>
      </c>
      <c r="K41" s="642"/>
      <c r="L41" s="460">
        <v>120</v>
      </c>
      <c r="M41" s="461" t="s">
        <v>265</v>
      </c>
    </row>
    <row r="42" spans="7:13" ht="15">
      <c r="G42" s="429"/>
      <c r="J42" s="643" t="s">
        <v>296</v>
      </c>
      <c r="K42" s="644"/>
      <c r="L42" s="485">
        <v>150</v>
      </c>
      <c r="M42" s="486" t="s">
        <v>265</v>
      </c>
    </row>
    <row r="43" ht="15">
      <c r="G43" s="429"/>
    </row>
    <row r="44" spans="1:3" s="470" customFormat="1" ht="21">
      <c r="A44" s="650" t="s">
        <v>302</v>
      </c>
      <c r="B44" s="651"/>
      <c r="C44" s="651"/>
    </row>
    <row r="45" ht="15"/>
    <row r="46" spans="2:13" ht="15">
      <c r="B46" s="425"/>
      <c r="C46" s="425"/>
      <c r="D46" s="425"/>
      <c r="E46" s="425"/>
      <c r="F46" s="425"/>
      <c r="J46" s="645" t="s">
        <v>57</v>
      </c>
      <c r="K46" s="646"/>
      <c r="L46" s="646"/>
      <c r="M46" s="647"/>
    </row>
    <row r="47" spans="1:13" s="425" customFormat="1" ht="15" customHeight="1">
      <c r="A47" s="440" t="s">
        <v>266</v>
      </c>
      <c r="B47" s="441">
        <v>0.5</v>
      </c>
      <c r="C47" s="629" t="str">
        <f>CONCATENATE("reduction from 2010 plastic bag use would eliminate the same amount of C02 emitted by ",TEXT(ROUND((('User Interface'!C32*B47))/L52,1),"##,#0")," one-way trips to San Francisco in a 2010 Chevy Tahoe.")</f>
        <v>reduction from 2010 plastic bag use would eliminate the same amount of C02 emitted by 6,680 one-way trips to San Francisco in a 2010 Chevy Tahoe.</v>
      </c>
      <c r="D47" s="629"/>
      <c r="E47" s="629"/>
      <c r="F47" s="629"/>
      <c r="G47" s="629"/>
      <c r="H47" s="630"/>
      <c r="I47" s="422"/>
      <c r="J47" s="454"/>
      <c r="K47" s="455"/>
      <c r="L47" s="456">
        <v>2421</v>
      </c>
      <c r="M47" s="457" t="s">
        <v>271</v>
      </c>
    </row>
    <row r="48" spans="1:13" ht="15">
      <c r="A48" s="437"/>
      <c r="B48" s="434"/>
      <c r="C48" s="631"/>
      <c r="D48" s="631"/>
      <c r="E48" s="631"/>
      <c r="F48" s="631"/>
      <c r="G48" s="631"/>
      <c r="H48" s="632"/>
      <c r="J48" s="458"/>
      <c r="K48" s="459"/>
      <c r="L48" s="460">
        <v>453.59237</v>
      </c>
      <c r="M48" s="461" t="s">
        <v>238</v>
      </c>
    </row>
    <row r="49" spans="1:13" ht="15">
      <c r="A49" s="438"/>
      <c r="B49" s="439"/>
      <c r="C49" s="633"/>
      <c r="D49" s="633"/>
      <c r="E49" s="633"/>
      <c r="F49" s="633"/>
      <c r="G49" s="633"/>
      <c r="H49" s="634"/>
      <c r="J49" s="641" t="s">
        <v>286</v>
      </c>
      <c r="K49" s="642"/>
      <c r="L49" s="460">
        <v>17</v>
      </c>
      <c r="M49" s="461" t="s">
        <v>47</v>
      </c>
    </row>
    <row r="50" spans="10:13" ht="15">
      <c r="J50" s="641" t="s">
        <v>287</v>
      </c>
      <c r="K50" s="642"/>
      <c r="L50" s="460">
        <v>280</v>
      </c>
      <c r="M50" s="461" t="s">
        <v>54</v>
      </c>
    </row>
    <row r="51" spans="10:13" ht="15">
      <c r="J51" s="641" t="s">
        <v>288</v>
      </c>
      <c r="K51" s="642"/>
      <c r="L51" s="462">
        <f>L50/L49</f>
        <v>16.470588235294116</v>
      </c>
      <c r="M51" s="463" t="s">
        <v>175</v>
      </c>
    </row>
    <row r="52" spans="10:13" ht="15">
      <c r="J52" s="648" t="s">
        <v>290</v>
      </c>
      <c r="K52" s="649"/>
      <c r="L52" s="464">
        <f>(L51*L47)/L48</f>
        <v>87.90997546463812</v>
      </c>
      <c r="M52" s="465" t="s">
        <v>278</v>
      </c>
    </row>
    <row r="53" spans="11:13" ht="15">
      <c r="K53" s="426"/>
      <c r="L53" s="427"/>
      <c r="M53" s="428"/>
    </row>
    <row r="54" s="435" customFormat="1" ht="15"/>
    <row r="55" ht="15"/>
    <row r="56" spans="1:13" ht="15">
      <c r="A56" s="627" t="str">
        <f>CONCATENATE("The amount of C02 emissions from ",TEXT(ArcataBags,"##,#0")," bags is equal to ",TEXT(ROUND((TotalCO2/L58),0),"##,##0")," modest baths.")</f>
        <v>The amount of C02 emissions from 3,000,000 bags is equal to 1,067,657 modest baths.</v>
      </c>
      <c r="B56" s="627"/>
      <c r="C56" s="627"/>
      <c r="D56" s="627"/>
      <c r="E56" s="627"/>
      <c r="F56" s="627"/>
      <c r="G56" s="627"/>
      <c r="H56" s="627"/>
      <c r="J56" s="645" t="s">
        <v>57</v>
      </c>
      <c r="K56" s="646"/>
      <c r="L56" s="646"/>
      <c r="M56" s="647"/>
    </row>
    <row r="57" spans="9:13" ht="15">
      <c r="I57" s="451"/>
      <c r="J57" s="454"/>
      <c r="K57" s="466"/>
      <c r="L57" s="466">
        <v>2000</v>
      </c>
      <c r="M57" s="467" t="s">
        <v>46</v>
      </c>
    </row>
    <row r="58" spans="1:13" ht="15">
      <c r="A58" s="627" t="str">
        <f>CONCATENATE("The amount of C02 emissions from ",TEXT(ArcataBags,"##,#0")," bags is equal to ",TEXT(ROUND((TotalCO2/L59),0),"##,##0")," newspapers.")</f>
        <v>The amount of C02 emissions from 3,000,000 bags is equal to 293,606 newspapers.</v>
      </c>
      <c r="B58" s="627"/>
      <c r="C58" s="627"/>
      <c r="D58" s="627"/>
      <c r="E58" s="627"/>
      <c r="F58" s="627"/>
      <c r="G58" s="627"/>
      <c r="H58" s="627"/>
      <c r="J58" s="673" t="s">
        <v>279</v>
      </c>
      <c r="K58" s="674"/>
      <c r="L58" s="468">
        <v>1.1</v>
      </c>
      <c r="M58" s="463" t="s">
        <v>195</v>
      </c>
    </row>
    <row r="59" spans="10:13" ht="15">
      <c r="J59" s="673" t="s">
        <v>283</v>
      </c>
      <c r="K59" s="674"/>
      <c r="L59" s="468">
        <v>4</v>
      </c>
      <c r="M59" s="463" t="s">
        <v>195</v>
      </c>
    </row>
    <row r="60" spans="1:13" ht="15" customHeight="1">
      <c r="A60" s="627" t="str">
        <f>CONCATENATE("The amount of C02 emissions from ",TEXT(ArcataBags,"##,#0")," bags is equal to ",TEXT(ROUND((TotalCO2/L60),0),"##,##0")," laptops.")</f>
        <v>The amount of C02 emissions from 3,000,000 bags is equal to 2,669 laptops.</v>
      </c>
      <c r="B60" s="627"/>
      <c r="C60" s="627"/>
      <c r="D60" s="627"/>
      <c r="E60" s="627"/>
      <c r="F60" s="627"/>
      <c r="G60" s="627"/>
      <c r="H60" s="627"/>
      <c r="I60" s="452"/>
      <c r="J60" s="673" t="s">
        <v>282</v>
      </c>
      <c r="K60" s="674"/>
      <c r="L60" s="468">
        <v>440</v>
      </c>
      <c r="M60" s="463" t="s">
        <v>195</v>
      </c>
    </row>
    <row r="61" spans="9:13" ht="15">
      <c r="I61" s="452"/>
      <c r="J61" s="673" t="s">
        <v>277</v>
      </c>
      <c r="K61" s="674"/>
      <c r="L61" s="468">
        <v>966</v>
      </c>
      <c r="M61" s="463" t="s">
        <v>281</v>
      </c>
    </row>
    <row r="62" spans="1:13" ht="15">
      <c r="A62" s="628" t="str">
        <f>CONCATENATE("The amount of C02 emissions from ",TEXT(ArcataBags,"##,#0")," bags is equal to ",TEXT(ROUND((TotalCO2/L61),0),"##,##0")," flights from New York to LA.")</f>
        <v>The amount of C02 emissions from 3,000,000 bags is equal to 1,216 flights from New York to LA.</v>
      </c>
      <c r="B62" s="628"/>
      <c r="C62" s="628"/>
      <c r="D62" s="628"/>
      <c r="E62" s="628"/>
      <c r="F62" s="628"/>
      <c r="G62" s="628"/>
      <c r="H62" s="628"/>
      <c r="J62" s="648" t="s">
        <v>280</v>
      </c>
      <c r="K62" s="649"/>
      <c r="L62" s="469">
        <v>2750</v>
      </c>
      <c r="M62" s="465" t="s">
        <v>195</v>
      </c>
    </row>
    <row r="63" spans="1:8" ht="15">
      <c r="A63" s="628"/>
      <c r="B63" s="628"/>
      <c r="C63" s="628"/>
      <c r="D63" s="628"/>
      <c r="E63" s="628"/>
      <c r="F63" s="628"/>
      <c r="G63" s="628"/>
      <c r="H63" s="628"/>
    </row>
    <row r="64" spans="1:9" ht="15">
      <c r="A64" s="491"/>
      <c r="B64" s="492"/>
      <c r="C64" s="492"/>
      <c r="D64" s="492"/>
      <c r="E64" s="492"/>
      <c r="F64" s="492"/>
      <c r="G64" s="492"/>
      <c r="H64" s="492"/>
      <c r="I64" s="429"/>
    </row>
    <row r="65" spans="1:8" ht="15">
      <c r="A65" s="628" t="str">
        <f>CONCATENATE("The amount of C02 emissions from ",TEXT(ArcataBags,"##,#0")," bags is equal to ",TEXT(ROUND((TotalCO2/L62),0),"##,##0")," years of cell phone use at an hour per day.")</f>
        <v>The amount of C02 emissions from 3,000,000 bags is equal to 427 years of cell phone use at an hour per day.</v>
      </c>
      <c r="B65" s="628"/>
      <c r="C65" s="628"/>
      <c r="D65" s="628"/>
      <c r="E65" s="628"/>
      <c r="F65" s="628"/>
      <c r="G65" s="628"/>
      <c r="H65" s="628"/>
    </row>
    <row r="66" spans="1:8" ht="15">
      <c r="A66" s="628"/>
      <c r="B66" s="628"/>
      <c r="C66" s="628"/>
      <c r="D66" s="628"/>
      <c r="E66" s="628"/>
      <c r="F66" s="628"/>
      <c r="G66" s="628"/>
      <c r="H66" s="628"/>
    </row>
  </sheetData>
  <sheetProtection/>
  <mergeCells count="36">
    <mergeCell ref="J60:K60"/>
    <mergeCell ref="J61:K61"/>
    <mergeCell ref="J62:K62"/>
    <mergeCell ref="J58:K58"/>
    <mergeCell ref="J9:K9"/>
    <mergeCell ref="K20:L20"/>
    <mergeCell ref="K18:L18"/>
    <mergeCell ref="J49:K49"/>
    <mergeCell ref="J50:K50"/>
    <mergeCell ref="J51:K51"/>
    <mergeCell ref="J52:K52"/>
    <mergeCell ref="J46:M46"/>
    <mergeCell ref="J56:M56"/>
    <mergeCell ref="J59:K59"/>
    <mergeCell ref="A1:I3"/>
    <mergeCell ref="A18:H21"/>
    <mergeCell ref="J17:L17"/>
    <mergeCell ref="A7:C7"/>
    <mergeCell ref="A11:G12"/>
    <mergeCell ref="C47:H49"/>
    <mergeCell ref="A38:H39"/>
    <mergeCell ref="J41:K41"/>
    <mergeCell ref="J42:K42"/>
    <mergeCell ref="J27:M27"/>
    <mergeCell ref="J30:K30"/>
    <mergeCell ref="J31:K31"/>
    <mergeCell ref="J32:K32"/>
    <mergeCell ref="J29:K29"/>
    <mergeCell ref="A28:H29"/>
    <mergeCell ref="A44:C44"/>
    <mergeCell ref="J36:M36"/>
    <mergeCell ref="A56:H56"/>
    <mergeCell ref="A58:H58"/>
    <mergeCell ref="A60:H60"/>
    <mergeCell ref="A65:H66"/>
    <mergeCell ref="A62:H63"/>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G34"/>
  <sheetViews>
    <sheetView zoomScale="85" zoomScaleNormal="85" zoomScalePageLayoutView="0" workbookViewId="0" topLeftCell="A1">
      <selection activeCell="E4" sqref="E4:F4"/>
    </sheetView>
  </sheetViews>
  <sheetFormatPr defaultColWidth="11.00390625" defaultRowHeight="12.75"/>
  <cols>
    <col min="1" max="1" width="27.875" style="0" customWidth="1"/>
    <col min="2" max="2" width="9.375" style="0" customWidth="1"/>
    <col min="3" max="3" width="13.00390625" style="0" customWidth="1"/>
    <col min="4" max="4" width="12.00390625" style="0" customWidth="1"/>
    <col min="5" max="5" width="6.875" style="0" customWidth="1"/>
    <col min="6" max="6" width="8.50390625" style="0" bestFit="1" customWidth="1"/>
    <col min="7" max="7" width="10.375" style="0" customWidth="1"/>
  </cols>
  <sheetData>
    <row r="1" spans="1:7" ht="26.25">
      <c r="A1" s="683" t="s">
        <v>116</v>
      </c>
      <c r="B1" s="683"/>
      <c r="C1" s="683"/>
      <c r="D1" s="683"/>
      <c r="E1" s="683"/>
      <c r="F1" s="683"/>
      <c r="G1" s="53"/>
    </row>
    <row r="2" spans="1:7" ht="15.75" customHeight="1" thickBot="1">
      <c r="A2" s="684" t="s">
        <v>117</v>
      </c>
      <c r="B2" s="684"/>
      <c r="C2" s="684"/>
      <c r="D2" s="684"/>
      <c r="E2" s="684"/>
      <c r="F2" s="684"/>
      <c r="G2" s="52"/>
    </row>
    <row r="3" spans="1:7" ht="16.5">
      <c r="A3" s="49"/>
      <c r="B3" s="44"/>
      <c r="C3" s="44"/>
      <c r="D3" s="23"/>
      <c r="E3" s="23"/>
      <c r="F3" s="46"/>
      <c r="G3" s="46"/>
    </row>
    <row r="4" spans="1:7" ht="15">
      <c r="A4" s="49" t="s">
        <v>159</v>
      </c>
      <c r="B4" s="54">
        <f>ArcataBags</f>
        <v>3000000</v>
      </c>
      <c r="C4" s="55" t="s">
        <v>141</v>
      </c>
      <c r="D4" s="23"/>
      <c r="E4" s="685" t="s">
        <v>57</v>
      </c>
      <c r="F4" s="686"/>
      <c r="G4" s="56"/>
    </row>
    <row r="5" spans="1:7" ht="15">
      <c r="A5" s="126"/>
      <c r="B5" s="23"/>
      <c r="C5" s="23"/>
      <c r="D5" s="23"/>
      <c r="E5" s="540">
        <v>2000</v>
      </c>
      <c r="F5" s="541" t="s">
        <v>46</v>
      </c>
      <c r="G5" s="56"/>
    </row>
    <row r="6" spans="1:7" ht="18">
      <c r="A6" s="677" t="s">
        <v>138</v>
      </c>
      <c r="B6" s="678"/>
      <c r="C6" s="679"/>
      <c r="D6" s="23"/>
      <c r="E6" s="542">
        <v>2.2046</v>
      </c>
      <c r="F6" s="541" t="s">
        <v>50</v>
      </c>
      <c r="G6" s="56"/>
    </row>
    <row r="7" spans="1:7" ht="14.25" customHeight="1">
      <c r="A7" s="145" t="s">
        <v>73</v>
      </c>
      <c r="B7" s="57">
        <v>1104</v>
      </c>
      <c r="C7" s="146" t="s">
        <v>139</v>
      </c>
      <c r="D7" s="256"/>
      <c r="E7" s="543">
        <f>12^3</f>
        <v>1728</v>
      </c>
      <c r="F7" s="541" t="s">
        <v>88</v>
      </c>
      <c r="G7" s="56"/>
    </row>
    <row r="8" spans="1:7" ht="15">
      <c r="A8" s="147" t="s">
        <v>90</v>
      </c>
      <c r="B8" s="58">
        <v>3606.65</v>
      </c>
      <c r="C8" s="146" t="s">
        <v>87</v>
      </c>
      <c r="D8" s="59"/>
      <c r="E8" s="544">
        <v>1000</v>
      </c>
      <c r="F8" s="545" t="s">
        <v>203</v>
      </c>
      <c r="G8" s="56"/>
    </row>
    <row r="9" spans="1:7" ht="15">
      <c r="A9" s="147" t="s">
        <v>89</v>
      </c>
      <c r="B9" s="57">
        <f>B8*E7</f>
        <v>6232291.2</v>
      </c>
      <c r="C9" s="146" t="s">
        <v>72</v>
      </c>
      <c r="D9" s="59"/>
      <c r="E9" s="60"/>
      <c r="F9" s="60"/>
      <c r="G9" s="56"/>
    </row>
    <row r="10" spans="1:7" ht="14.25">
      <c r="A10" s="147" t="s">
        <v>85</v>
      </c>
      <c r="B10" s="57">
        <f>B4*B7/E8</f>
        <v>3312000</v>
      </c>
      <c r="C10" s="146" t="s">
        <v>86</v>
      </c>
      <c r="D10" s="61"/>
      <c r="E10" s="60"/>
      <c r="F10" s="60"/>
      <c r="G10" s="56"/>
    </row>
    <row r="11" spans="1:7" ht="14.25">
      <c r="A11" s="148" t="s">
        <v>91</v>
      </c>
      <c r="B11" s="62">
        <f>B10/B9</f>
        <v>0.531425745960009</v>
      </c>
      <c r="C11" s="149" t="s">
        <v>161</v>
      </c>
      <c r="D11" s="63"/>
      <c r="E11" s="60"/>
      <c r="F11" s="60"/>
      <c r="G11" s="56"/>
    </row>
    <row r="12" spans="1:7" ht="15">
      <c r="A12" s="150" t="s">
        <v>144</v>
      </c>
      <c r="B12" s="326">
        <f>B11</f>
        <v>0.531425745960009</v>
      </c>
      <c r="C12" s="151" t="s">
        <v>161</v>
      </c>
      <c r="D12" s="23"/>
      <c r="E12" s="60"/>
      <c r="F12" s="60"/>
      <c r="G12" s="56"/>
    </row>
    <row r="13" spans="1:7" ht="14.25">
      <c r="A13" s="23"/>
      <c r="B13" s="23"/>
      <c r="C13" s="23"/>
      <c r="D13" s="23"/>
      <c r="E13" s="44"/>
      <c r="F13" s="60"/>
      <c r="G13" s="60"/>
    </row>
    <row r="14" spans="1:7" ht="18">
      <c r="A14" s="677" t="s">
        <v>71</v>
      </c>
      <c r="B14" s="678"/>
      <c r="C14" s="679"/>
      <c r="D14" s="23"/>
      <c r="E14" s="44"/>
      <c r="F14" s="60"/>
      <c r="G14" s="60"/>
    </row>
    <row r="15" spans="1:7" ht="14.25">
      <c r="A15" s="152" t="s">
        <v>69</v>
      </c>
      <c r="B15" s="153">
        <v>13.9</v>
      </c>
      <c r="C15" s="154" t="s">
        <v>140</v>
      </c>
      <c r="D15" s="131"/>
      <c r="E15" s="44"/>
      <c r="F15" s="60"/>
      <c r="G15" s="60"/>
    </row>
    <row r="16" spans="1:7" ht="15">
      <c r="A16" s="155" t="s">
        <v>142</v>
      </c>
      <c r="B16" s="156">
        <f>(B4*B15)/1000</f>
        <v>41700</v>
      </c>
      <c r="C16" s="157" t="s">
        <v>195</v>
      </c>
      <c r="D16" s="64"/>
      <c r="E16" s="44"/>
      <c r="F16" s="60"/>
      <c r="G16" s="60"/>
    </row>
    <row r="17" spans="1:7" ht="15">
      <c r="A17" s="158" t="s">
        <v>143</v>
      </c>
      <c r="B17" s="159">
        <f>B16/E6</f>
        <v>18914.99591762678</v>
      </c>
      <c r="C17" s="160" t="s">
        <v>70</v>
      </c>
      <c r="D17" s="25"/>
      <c r="E17" s="23"/>
      <c r="F17" s="65"/>
      <c r="G17" s="65"/>
    </row>
    <row r="18" spans="1:7" ht="15">
      <c r="A18" s="66"/>
      <c r="B18" s="161"/>
      <c r="C18" s="66"/>
      <c r="D18" s="23"/>
      <c r="E18" s="23"/>
      <c r="F18" s="65"/>
      <c r="G18" s="65"/>
    </row>
    <row r="19" spans="1:7" ht="18" customHeight="1">
      <c r="A19" s="680" t="s">
        <v>146</v>
      </c>
      <c r="B19" s="681"/>
      <c r="C19" s="682"/>
      <c r="D19" s="23"/>
      <c r="E19" s="23"/>
      <c r="F19" s="65"/>
      <c r="G19" s="65"/>
    </row>
    <row r="20" spans="1:7" ht="14.25">
      <c r="A20" s="152" t="s">
        <v>81</v>
      </c>
      <c r="B20" s="67">
        <v>21</v>
      </c>
      <c r="C20" s="162" t="s">
        <v>196</v>
      </c>
      <c r="D20" s="23"/>
      <c r="E20" s="23"/>
      <c r="F20" s="65"/>
      <c r="G20" s="65"/>
    </row>
    <row r="21" spans="1:7" ht="14.25" customHeight="1">
      <c r="A21" s="148" t="s">
        <v>11</v>
      </c>
      <c r="B21" s="44">
        <f>B20*E5</f>
        <v>42000</v>
      </c>
      <c r="C21" s="149" t="s">
        <v>195</v>
      </c>
      <c r="D21" s="68"/>
      <c r="E21" s="104"/>
      <c r="F21" s="104"/>
      <c r="G21" s="104"/>
    </row>
    <row r="22" spans="1:7" ht="14.25">
      <c r="A22" s="148" t="s">
        <v>27</v>
      </c>
      <c r="B22" s="62">
        <f>B16/B21</f>
        <v>0.9928571428571429</v>
      </c>
      <c r="C22" s="149" t="s">
        <v>161</v>
      </c>
      <c r="D22" s="25"/>
      <c r="E22" s="104"/>
      <c r="F22" s="104"/>
      <c r="G22" s="104"/>
    </row>
    <row r="23" spans="1:7" ht="15">
      <c r="A23" s="163" t="s">
        <v>145</v>
      </c>
      <c r="B23" s="326">
        <f>B22</f>
        <v>0.9928571428571429</v>
      </c>
      <c r="C23" s="151" t="s">
        <v>161</v>
      </c>
      <c r="D23" s="23"/>
      <c r="E23" s="104"/>
      <c r="F23" s="104"/>
      <c r="G23" s="104"/>
    </row>
    <row r="24" spans="1:7" ht="14.25">
      <c r="A24" s="23"/>
      <c r="B24" s="23"/>
      <c r="C24" s="64"/>
      <c r="D24" s="23"/>
      <c r="E24" s="104"/>
      <c r="F24" s="104"/>
      <c r="G24" s="104"/>
    </row>
    <row r="25" spans="1:7" ht="13.5" customHeight="1">
      <c r="A25" s="33"/>
      <c r="B25" s="42"/>
      <c r="C25" s="23"/>
      <c r="D25" s="23"/>
      <c r="E25" s="104"/>
      <c r="F25" s="104"/>
      <c r="G25" s="104"/>
    </row>
    <row r="26" spans="1:7" ht="14.25">
      <c r="A26" s="8"/>
      <c r="B26" s="8"/>
      <c r="C26" s="5"/>
      <c r="D26" s="5"/>
      <c r="E26" s="5"/>
      <c r="F26" s="27"/>
      <c r="G26" s="27"/>
    </row>
    <row r="27" spans="1:7" ht="14.25">
      <c r="A27" s="8"/>
      <c r="B27" s="8"/>
      <c r="C27" s="5"/>
      <c r="D27" s="5"/>
      <c r="E27" s="5"/>
      <c r="F27" s="27"/>
      <c r="G27" s="27"/>
    </row>
    <row r="28" spans="1:7" ht="15">
      <c r="A28" s="19"/>
      <c r="B28" s="8"/>
      <c r="C28" s="5"/>
      <c r="D28" s="5"/>
      <c r="E28" s="5"/>
      <c r="F28" s="27"/>
      <c r="G28" s="27"/>
    </row>
    <row r="29" spans="1:7" ht="14.25">
      <c r="A29" s="3"/>
      <c r="B29" s="4"/>
      <c r="D29" s="24"/>
      <c r="E29" s="20"/>
      <c r="F29" s="9"/>
      <c r="G29" s="9"/>
    </row>
    <row r="30" spans="4:7" ht="14.25">
      <c r="D30" s="8"/>
      <c r="E30" s="8"/>
      <c r="F30" s="9"/>
      <c r="G30" s="9"/>
    </row>
    <row r="31" spans="4:7" ht="14.25">
      <c r="D31" s="5"/>
      <c r="E31" s="5"/>
      <c r="F31" s="9"/>
      <c r="G31" s="9"/>
    </row>
    <row r="32" spans="6:7" ht="14.25">
      <c r="F32" s="9"/>
      <c r="G32" s="9"/>
    </row>
    <row r="33" spans="6:7" ht="14.25">
      <c r="F33" s="9"/>
      <c r="G33" s="9"/>
    </row>
    <row r="34" spans="6:7" ht="14.25">
      <c r="F34" s="9"/>
      <c r="G34" s="9"/>
    </row>
  </sheetData>
  <sheetProtection/>
  <mergeCells count="6">
    <mergeCell ref="A14:C14"/>
    <mergeCell ref="A19:C19"/>
    <mergeCell ref="A6:C6"/>
    <mergeCell ref="A1:F1"/>
    <mergeCell ref="A2:F2"/>
    <mergeCell ref="E4:F4"/>
  </mergeCells>
  <printOptions/>
  <pageMargins left="0.75" right="0.75" top="1" bottom="1" header="0.5" footer="0.5"/>
  <pageSetup orientation="landscape"/>
  <legacyDrawing r:id="rId2"/>
</worksheet>
</file>

<file path=xl/worksheets/sheet5.xml><?xml version="1.0" encoding="utf-8"?>
<worksheet xmlns="http://schemas.openxmlformats.org/spreadsheetml/2006/main" xmlns:r="http://schemas.openxmlformats.org/officeDocument/2006/relationships">
  <dimension ref="A1:J64"/>
  <sheetViews>
    <sheetView zoomScale="85" zoomScaleNormal="85" zoomScalePageLayoutView="0" workbookViewId="0" topLeftCell="A19">
      <selection activeCell="A38" sqref="A38"/>
    </sheetView>
  </sheetViews>
  <sheetFormatPr defaultColWidth="11.00390625" defaultRowHeight="15" customHeight="1"/>
  <cols>
    <col min="1" max="1" width="24.00390625" style="0" customWidth="1"/>
    <col min="2" max="2" width="20.25390625" style="0" customWidth="1"/>
    <col min="3" max="3" width="15.75390625" style="0" customWidth="1"/>
    <col min="4" max="4" width="11.375" style="0" customWidth="1"/>
    <col min="5" max="5" width="10.75390625" style="0" customWidth="1"/>
    <col min="6" max="7" width="8.125" style="0" customWidth="1"/>
    <col min="8" max="8" width="6.375" style="0" customWidth="1"/>
    <col min="9" max="9" width="11.50390625" style="0" customWidth="1"/>
    <col min="10" max="10" width="21.00390625" style="0" customWidth="1"/>
  </cols>
  <sheetData>
    <row r="1" spans="1:9" ht="15" customHeight="1">
      <c r="A1" s="683" t="s">
        <v>104</v>
      </c>
      <c r="B1" s="683"/>
      <c r="C1" s="683"/>
      <c r="D1" s="683"/>
      <c r="E1" s="683"/>
      <c r="F1" s="683"/>
      <c r="G1" s="683"/>
      <c r="H1" s="683"/>
      <c r="I1" s="683"/>
    </row>
    <row r="2" spans="1:9" ht="15" customHeight="1" thickBot="1">
      <c r="A2" s="693"/>
      <c r="B2" s="693"/>
      <c r="C2" s="693"/>
      <c r="D2" s="693"/>
      <c r="E2" s="693"/>
      <c r="F2" s="693"/>
      <c r="G2" s="693"/>
      <c r="H2" s="693"/>
      <c r="I2" s="693"/>
    </row>
    <row r="3" spans="1:10" ht="15" customHeight="1">
      <c r="A3" s="130"/>
      <c r="B3" s="130"/>
      <c r="C3" s="130"/>
      <c r="D3" s="130"/>
      <c r="E3" s="130"/>
      <c r="F3" s="130"/>
      <c r="G3" s="130"/>
      <c r="H3" s="130"/>
      <c r="I3" s="130"/>
      <c r="J3" s="123"/>
    </row>
    <row r="4" spans="1:10" ht="15" customHeight="1">
      <c r="A4" s="689" t="s">
        <v>272</v>
      </c>
      <c r="B4" s="690"/>
      <c r="C4" s="690"/>
      <c r="D4" s="690"/>
      <c r="E4" s="690"/>
      <c r="F4" s="690"/>
      <c r="G4" s="697"/>
      <c r="H4" s="130"/>
      <c r="I4" s="130"/>
      <c r="J4" s="123"/>
    </row>
    <row r="5" spans="1:10" ht="15" customHeight="1">
      <c r="A5" s="164" t="s">
        <v>205</v>
      </c>
      <c r="B5" s="165" t="str">
        <f>VLOOKUP(Distributor,'Ports and Distributors'!A29:E38,5,FALSE)</f>
        <v>China</v>
      </c>
      <c r="C5" s="166"/>
      <c r="D5" s="687" t="s">
        <v>10</v>
      </c>
      <c r="E5" s="696"/>
      <c r="F5" s="167">
        <f>INDEX(B9:E11,MATCH(VLOOKUP(Distributor,'Ports and Distributors'!A29:E38,5,FALSE),A9:A11),MATCH(Port,B7:E7))</f>
        <v>7344</v>
      </c>
      <c r="G5" s="174" t="s">
        <v>54</v>
      </c>
      <c r="H5" s="130"/>
      <c r="I5" s="130"/>
      <c r="J5" s="123"/>
    </row>
    <row r="6" spans="1:10" ht="15" customHeight="1">
      <c r="A6" s="180" t="s">
        <v>83</v>
      </c>
      <c r="B6" s="390" t="str">
        <f>Port</f>
        <v>Los Angeles</v>
      </c>
      <c r="C6" s="413"/>
      <c r="D6" s="173"/>
      <c r="E6" s="173"/>
      <c r="F6" s="181"/>
      <c r="G6" s="182"/>
      <c r="H6" s="130"/>
      <c r="I6" s="130"/>
      <c r="J6" s="123"/>
    </row>
    <row r="7" spans="1:10" ht="15" customHeight="1">
      <c r="A7" s="402"/>
      <c r="B7" s="141" t="str">
        <f>A19</f>
        <v>Los Angeles</v>
      </c>
      <c r="C7" s="404" t="str">
        <f>A20</f>
        <v>None (domestic)</v>
      </c>
      <c r="D7" s="141" t="str">
        <f>A21</f>
        <v>Oakland</v>
      </c>
      <c r="E7" s="141" t="str">
        <f>A22</f>
        <v>Seattle</v>
      </c>
      <c r="F7" s="403"/>
      <c r="G7" s="403"/>
      <c r="H7" s="130"/>
      <c r="I7" s="130"/>
      <c r="J7" s="123"/>
    </row>
    <row r="8" spans="1:9" ht="15" customHeight="1">
      <c r="A8" s="405" t="s">
        <v>0</v>
      </c>
      <c r="B8" s="406"/>
      <c r="C8" s="407"/>
      <c r="D8" s="407"/>
      <c r="E8" s="408"/>
      <c r="G8" s="122"/>
      <c r="H8" s="130"/>
      <c r="I8" s="130"/>
    </row>
    <row r="9" spans="1:9" ht="15" customHeight="1">
      <c r="A9" s="405" t="s">
        <v>107</v>
      </c>
      <c r="B9" s="30">
        <v>7344</v>
      </c>
      <c r="C9" s="30">
        <v>0</v>
      </c>
      <c r="D9" s="30">
        <v>6991</v>
      </c>
      <c r="E9" s="409">
        <v>6596</v>
      </c>
      <c r="H9" s="130"/>
      <c r="I9" s="130"/>
    </row>
    <row r="10" spans="1:9" ht="15" customHeight="1">
      <c r="A10" s="410" t="s">
        <v>26</v>
      </c>
      <c r="B10" s="30">
        <v>0</v>
      </c>
      <c r="C10" s="30">
        <v>0</v>
      </c>
      <c r="D10" s="30">
        <v>0</v>
      </c>
      <c r="E10" s="409">
        <v>0</v>
      </c>
      <c r="G10" s="130"/>
      <c r="H10" s="130"/>
      <c r="I10" s="130"/>
    </row>
    <row r="11" spans="1:9" ht="15" customHeight="1">
      <c r="A11" s="411" t="s">
        <v>108</v>
      </c>
      <c r="B11" s="412">
        <v>8240</v>
      </c>
      <c r="C11" s="412">
        <v>0</v>
      </c>
      <c r="D11" s="412">
        <v>7895</v>
      </c>
      <c r="E11" s="143">
        <v>7524</v>
      </c>
      <c r="G11" s="130"/>
      <c r="H11" s="130"/>
      <c r="I11" s="130"/>
    </row>
    <row r="12" spans="4:10" ht="15" customHeight="1">
      <c r="D12" s="130"/>
      <c r="G12" s="130"/>
      <c r="H12" s="130"/>
      <c r="I12" s="130"/>
      <c r="J12" s="123"/>
    </row>
    <row r="13" spans="1:10" ht="15" customHeight="1">
      <c r="A13" s="131"/>
      <c r="B13" s="131"/>
      <c r="C13" s="131"/>
      <c r="D13" s="131"/>
      <c r="E13" s="131"/>
      <c r="F13" s="131"/>
      <c r="G13" s="131"/>
      <c r="H13" s="131"/>
      <c r="I13" s="255"/>
      <c r="J13" s="123"/>
    </row>
    <row r="14" spans="1:9" ht="15" customHeight="1">
      <c r="A14" s="23"/>
      <c r="B14" s="23"/>
      <c r="C14" s="23"/>
      <c r="D14" s="23"/>
      <c r="E14" s="23"/>
      <c r="F14" s="23"/>
      <c r="G14" s="23"/>
      <c r="H14" s="23"/>
      <c r="I14" s="255"/>
    </row>
    <row r="15" spans="1:9" ht="15" customHeight="1">
      <c r="A15" s="689" t="s">
        <v>82</v>
      </c>
      <c r="B15" s="690"/>
      <c r="C15" s="690"/>
      <c r="D15" s="690"/>
      <c r="E15" s="690"/>
      <c r="F15" s="690"/>
      <c r="G15" s="690"/>
      <c r="H15" s="690"/>
      <c r="I15" s="697"/>
    </row>
    <row r="16" spans="1:9" ht="15" customHeight="1">
      <c r="A16" s="164" t="s">
        <v>83</v>
      </c>
      <c r="B16" s="165" t="str">
        <f>Port</f>
        <v>Los Angeles</v>
      </c>
      <c r="C16" s="166"/>
      <c r="D16" s="687" t="s">
        <v>10</v>
      </c>
      <c r="E16" s="688"/>
      <c r="F16" s="167">
        <f>INDEX(InnerTable,MATCH(B16,PortNames),MATCH(B17,B18:I18))</f>
        <v>392</v>
      </c>
      <c r="G16" s="168" t="s">
        <v>54</v>
      </c>
      <c r="H16" s="169"/>
      <c r="I16" s="170"/>
    </row>
    <row r="17" spans="1:9" ht="15" customHeight="1">
      <c r="A17" s="164" t="s">
        <v>84</v>
      </c>
      <c r="B17" s="171" t="str">
        <f>Distributor</f>
        <v>Robert Hamm</v>
      </c>
      <c r="C17" s="172"/>
      <c r="D17" s="169"/>
      <c r="E17" s="173"/>
      <c r="F17" s="168"/>
      <c r="G17" s="168"/>
      <c r="H17" s="168"/>
      <c r="I17" s="174"/>
    </row>
    <row r="18" spans="1:9" ht="15" customHeight="1">
      <c r="A18" s="250" t="s">
        <v>1</v>
      </c>
      <c r="B18" s="251" t="s">
        <v>25</v>
      </c>
      <c r="C18" s="251" t="s">
        <v>97</v>
      </c>
      <c r="D18" s="252" t="s">
        <v>98</v>
      </c>
      <c r="E18" s="251" t="s">
        <v>99</v>
      </c>
      <c r="F18" s="253" t="s">
        <v>100</v>
      </c>
      <c r="G18" s="252" t="s">
        <v>101</v>
      </c>
      <c r="H18" s="251" t="s">
        <v>102</v>
      </c>
      <c r="I18" s="253" t="s">
        <v>103</v>
      </c>
    </row>
    <row r="19" spans="1:9" ht="15" customHeight="1">
      <c r="A19" s="254" t="s">
        <v>105</v>
      </c>
      <c r="B19" s="176">
        <v>320</v>
      </c>
      <c r="C19" s="176">
        <v>660</v>
      </c>
      <c r="D19" s="176">
        <v>73.5</v>
      </c>
      <c r="E19" s="176">
        <v>574</v>
      </c>
      <c r="F19" s="176">
        <v>663</v>
      </c>
      <c r="G19" s="176">
        <v>392</v>
      </c>
      <c r="H19" s="176">
        <v>340</v>
      </c>
      <c r="I19" s="176">
        <v>19</v>
      </c>
    </row>
    <row r="20" spans="1:9" ht="15" customHeight="1">
      <c r="A20" s="175" t="s">
        <v>204</v>
      </c>
      <c r="B20" s="177">
        <v>0</v>
      </c>
      <c r="C20" s="177">
        <v>0</v>
      </c>
      <c r="D20" s="177">
        <v>0</v>
      </c>
      <c r="E20" s="177">
        <v>0</v>
      </c>
      <c r="F20" s="177">
        <v>0</v>
      </c>
      <c r="G20" s="177">
        <v>0</v>
      </c>
      <c r="H20" s="177">
        <v>0</v>
      </c>
      <c r="I20" s="177">
        <v>0</v>
      </c>
    </row>
    <row r="21" spans="1:9" ht="15" customHeight="1">
      <c r="A21" s="175" t="s">
        <v>95</v>
      </c>
      <c r="B21" s="177">
        <v>50</v>
      </c>
      <c r="C21" s="177">
        <v>272</v>
      </c>
      <c r="D21" s="177">
        <v>428</v>
      </c>
      <c r="E21" s="177">
        <v>284</v>
      </c>
      <c r="F21" s="177">
        <v>275</v>
      </c>
      <c r="G21" s="177">
        <v>219</v>
      </c>
      <c r="H21" s="177">
        <v>21</v>
      </c>
      <c r="I21" s="177">
        <v>377</v>
      </c>
    </row>
    <row r="22" spans="1:9" ht="15" customHeight="1">
      <c r="A22" s="178" t="s">
        <v>165</v>
      </c>
      <c r="B22" s="179">
        <v>688</v>
      </c>
      <c r="C22" s="179">
        <v>488</v>
      </c>
      <c r="D22" s="179">
        <v>974</v>
      </c>
      <c r="E22" s="179">
        <v>477</v>
      </c>
      <c r="F22" s="179">
        <v>483</v>
      </c>
      <c r="G22" s="179">
        <v>577</v>
      </c>
      <c r="H22" s="179">
        <v>692</v>
      </c>
      <c r="I22" s="179">
        <v>968</v>
      </c>
    </row>
    <row r="23" spans="1:9" ht="15" customHeight="1">
      <c r="A23" s="87"/>
      <c r="B23" s="133"/>
      <c r="C23" s="133"/>
      <c r="D23" s="133"/>
      <c r="E23" s="133"/>
      <c r="F23" s="133"/>
      <c r="G23" s="133"/>
      <c r="H23" s="133"/>
      <c r="I23" s="133"/>
    </row>
    <row r="24" spans="1:9" ht="15" customHeight="1">
      <c r="A24" s="87"/>
      <c r="B24" s="133"/>
      <c r="C24" s="133"/>
      <c r="D24" s="133"/>
      <c r="E24" s="133"/>
      <c r="F24" s="133"/>
      <c r="G24" s="133"/>
      <c r="H24" s="133"/>
      <c r="I24" s="133"/>
    </row>
    <row r="25" spans="1:9" ht="15" customHeight="1">
      <c r="A25" s="87"/>
      <c r="B25" s="133"/>
      <c r="C25" s="133"/>
      <c r="D25" s="133"/>
      <c r="E25" s="133"/>
      <c r="F25" s="133"/>
      <c r="G25" s="133"/>
      <c r="H25" s="133"/>
      <c r="I25" s="133"/>
    </row>
    <row r="26" spans="1:7" ht="15" customHeight="1">
      <c r="A26" s="689" t="s">
        <v>273</v>
      </c>
      <c r="B26" s="690"/>
      <c r="C26" s="690"/>
      <c r="D26" s="690"/>
      <c r="E26" s="690"/>
      <c r="F26" s="690"/>
      <c r="G26" s="690"/>
    </row>
    <row r="27" spans="1:9" ht="15" customHeight="1">
      <c r="A27" s="164" t="s">
        <v>84</v>
      </c>
      <c r="B27" s="165" t="str">
        <f>Distributor</f>
        <v>Robert Hamm</v>
      </c>
      <c r="C27" s="166"/>
      <c r="D27" s="691" t="s">
        <v>10</v>
      </c>
      <c r="E27" s="692"/>
      <c r="F27" s="357">
        <f>VLOOKUP('Import - Fuel Used'!B9,DistDist,2,FALSE)</f>
        <v>341.4</v>
      </c>
      <c r="G27" s="358" t="s">
        <v>54</v>
      </c>
      <c r="H27" s="34"/>
      <c r="I27" s="34"/>
    </row>
    <row r="28" spans="1:9" ht="15" customHeight="1">
      <c r="A28" s="35" t="s">
        <v>166</v>
      </c>
      <c r="B28" s="36" t="s">
        <v>167</v>
      </c>
      <c r="C28" s="694" t="s">
        <v>14</v>
      </c>
      <c r="D28" s="695"/>
      <c r="E28" s="356" t="s">
        <v>123</v>
      </c>
      <c r="F28" s="33"/>
      <c r="G28" s="23"/>
      <c r="H28" s="23"/>
      <c r="I28" s="31"/>
    </row>
    <row r="29" spans="1:9" ht="30" customHeight="1">
      <c r="A29" s="376" t="s">
        <v>96</v>
      </c>
      <c r="B29" s="374">
        <v>329.4</v>
      </c>
      <c r="C29" s="698" t="s">
        <v>127</v>
      </c>
      <c r="D29" s="699"/>
      <c r="E29" s="376" t="s">
        <v>107</v>
      </c>
      <c r="F29" s="32"/>
      <c r="G29" s="23"/>
      <c r="H29" s="23"/>
      <c r="I29" s="31"/>
    </row>
    <row r="30" spans="1:9" ht="30" customHeight="1">
      <c r="A30" s="377" t="s">
        <v>97</v>
      </c>
      <c r="B30" s="375">
        <v>5.2</v>
      </c>
      <c r="C30" s="700" t="s">
        <v>8</v>
      </c>
      <c r="D30" s="701"/>
      <c r="E30" s="377" t="s">
        <v>108</v>
      </c>
      <c r="F30" s="378"/>
      <c r="G30" s="349"/>
      <c r="H30" s="349"/>
      <c r="I30" s="349"/>
    </row>
    <row r="31" spans="1:9" ht="30" customHeight="1">
      <c r="A31" s="377" t="s">
        <v>98</v>
      </c>
      <c r="B31" s="375">
        <v>710.5</v>
      </c>
      <c r="C31" s="700" t="s">
        <v>9</v>
      </c>
      <c r="D31" s="701"/>
      <c r="E31" s="377" t="s">
        <v>26</v>
      </c>
      <c r="F31" s="23"/>
      <c r="G31" s="23"/>
      <c r="H31" s="23"/>
      <c r="I31" s="31"/>
    </row>
    <row r="32" spans="1:9" ht="30" customHeight="1">
      <c r="A32" s="377" t="s">
        <v>99</v>
      </c>
      <c r="B32" s="375">
        <v>0</v>
      </c>
      <c r="C32" s="700" t="s">
        <v>128</v>
      </c>
      <c r="D32" s="701"/>
      <c r="E32" s="377" t="s">
        <v>108</v>
      </c>
      <c r="F32" s="23"/>
      <c r="G32" s="131"/>
      <c r="H32" s="23"/>
      <c r="I32" s="31"/>
    </row>
    <row r="33" spans="1:9" ht="30" customHeight="1">
      <c r="A33" s="377" t="s">
        <v>100</v>
      </c>
      <c r="B33" s="375">
        <v>9.5</v>
      </c>
      <c r="C33" s="700" t="s">
        <v>129</v>
      </c>
      <c r="D33" s="701"/>
      <c r="E33" s="377" t="s">
        <v>108</v>
      </c>
      <c r="F33" s="23"/>
      <c r="G33" s="23"/>
      <c r="H33" s="23"/>
      <c r="I33" s="31"/>
    </row>
    <row r="34" spans="1:9" ht="30" customHeight="1">
      <c r="A34" s="377" t="s">
        <v>101</v>
      </c>
      <c r="B34" s="375">
        <v>341.4</v>
      </c>
      <c r="C34" s="700" t="s">
        <v>130</v>
      </c>
      <c r="D34" s="701"/>
      <c r="E34" s="377" t="s">
        <v>107</v>
      </c>
      <c r="F34" s="23"/>
      <c r="G34" s="131"/>
      <c r="H34" s="23"/>
      <c r="I34" s="31"/>
    </row>
    <row r="35" spans="1:9" ht="30" customHeight="1">
      <c r="A35" s="377" t="s">
        <v>102</v>
      </c>
      <c r="B35" s="375">
        <v>290.6</v>
      </c>
      <c r="C35" s="700" t="s">
        <v>131</v>
      </c>
      <c r="D35" s="701"/>
      <c r="E35" s="377" t="s">
        <v>107</v>
      </c>
      <c r="F35" s="23"/>
      <c r="G35" s="23"/>
      <c r="H35" s="23"/>
      <c r="I35" s="31"/>
    </row>
    <row r="36" spans="1:10" ht="30" customHeight="1">
      <c r="A36" s="377" t="s">
        <v>103</v>
      </c>
      <c r="B36" s="375">
        <v>659.6</v>
      </c>
      <c r="C36" s="700" t="s">
        <v>7</v>
      </c>
      <c r="D36" s="701"/>
      <c r="E36" s="376" t="s">
        <v>107</v>
      </c>
      <c r="F36" s="44"/>
      <c r="G36" s="44"/>
      <c r="H36" s="44"/>
      <c r="I36" s="79"/>
      <c r="J36" s="117"/>
    </row>
    <row r="37" spans="1:5" ht="30" customHeight="1">
      <c r="A37" s="379" t="s">
        <v>24</v>
      </c>
      <c r="B37" s="443">
        <f>AVERAGE(B29:B36)</f>
        <v>293.275</v>
      </c>
      <c r="C37" s="702" t="s">
        <v>251</v>
      </c>
      <c r="D37" s="702"/>
      <c r="E37" s="395" t="s">
        <v>26</v>
      </c>
    </row>
    <row r="38" spans="1:5" ht="30" customHeight="1">
      <c r="A38" s="379" t="s">
        <v>63</v>
      </c>
      <c r="B38" s="444">
        <v>200</v>
      </c>
      <c r="C38" s="702" t="s">
        <v>64</v>
      </c>
      <c r="D38" s="702"/>
      <c r="E38" s="395" t="s">
        <v>26</v>
      </c>
    </row>
    <row r="39" spans="1:5" ht="15" customHeight="1">
      <c r="A39" s="23"/>
      <c r="B39" s="23"/>
      <c r="D39" s="132"/>
      <c r="E39" s="132"/>
    </row>
    <row r="40" spans="1:5" ht="15" customHeight="1">
      <c r="A40" s="129"/>
      <c r="C40" s="132"/>
      <c r="D40" s="132"/>
      <c r="E40" s="132"/>
    </row>
    <row r="41" spans="6:9" ht="15" customHeight="1">
      <c r="F41" s="5"/>
      <c r="G41" s="5"/>
      <c r="H41" s="5"/>
      <c r="I41" s="2"/>
    </row>
    <row r="42" spans="7:9" ht="15" customHeight="1">
      <c r="G42" s="121"/>
      <c r="H42" s="121"/>
      <c r="I42" s="124"/>
    </row>
    <row r="43" spans="8:9" ht="15" customHeight="1">
      <c r="H43" s="121"/>
      <c r="I43" s="124"/>
    </row>
    <row r="44" spans="7:9" ht="15" customHeight="1">
      <c r="G44" s="121"/>
      <c r="H44" s="121"/>
      <c r="I44" s="124"/>
    </row>
    <row r="45" spans="7:9" ht="15" customHeight="1">
      <c r="G45" s="5"/>
      <c r="H45" s="5"/>
      <c r="I45" s="2"/>
    </row>
    <row r="46" spans="7:9" ht="15" customHeight="1">
      <c r="G46" s="2"/>
      <c r="H46" s="2"/>
      <c r="I46" s="2"/>
    </row>
    <row r="47" spans="2:9" ht="15" customHeight="1">
      <c r="B47" s="127"/>
      <c r="C47" s="123"/>
      <c r="D47" s="123"/>
      <c r="E47" s="123"/>
      <c r="G47" s="2"/>
      <c r="H47" s="2"/>
      <c r="I47" s="2"/>
    </row>
    <row r="48" spans="2:5" ht="15" customHeight="1">
      <c r="B48" s="123"/>
      <c r="C48" s="123"/>
      <c r="D48" s="123"/>
      <c r="E48" s="123"/>
    </row>
    <row r="49" spans="1:5" ht="15" customHeight="1">
      <c r="A49" s="120"/>
      <c r="B49" s="120"/>
      <c r="C49" s="122"/>
      <c r="D49" s="123"/>
      <c r="E49" s="122"/>
    </row>
    <row r="50" spans="1:5" ht="15" customHeight="1">
      <c r="A50" s="120"/>
      <c r="B50" s="128"/>
      <c r="C50" s="122"/>
      <c r="D50" s="123"/>
      <c r="E50" s="123"/>
    </row>
    <row r="51" spans="2:5" ht="15" customHeight="1">
      <c r="B51" s="123"/>
      <c r="C51" s="123"/>
      <c r="D51" s="123"/>
      <c r="E51" s="123"/>
    </row>
    <row r="52" spans="2:5" ht="15" customHeight="1">
      <c r="B52" s="122"/>
      <c r="C52" s="123"/>
      <c r="D52" s="123"/>
      <c r="E52" s="122"/>
    </row>
    <row r="53" spans="2:5" ht="15" customHeight="1">
      <c r="B53" s="123"/>
      <c r="C53" s="123"/>
      <c r="D53" s="123"/>
      <c r="E53" s="123"/>
    </row>
    <row r="54" spans="2:5" ht="15" customHeight="1">
      <c r="B54" s="123"/>
      <c r="C54" s="123"/>
      <c r="D54" s="123"/>
      <c r="E54" s="123"/>
    </row>
    <row r="56" spans="2:5" ht="15" customHeight="1">
      <c r="B56" s="129"/>
      <c r="E56" s="123"/>
    </row>
    <row r="57" spans="2:5" ht="15" customHeight="1">
      <c r="B57" s="123"/>
      <c r="C57" s="123"/>
      <c r="D57" s="123"/>
      <c r="E57" s="123"/>
    </row>
    <row r="58" spans="2:5" ht="15" customHeight="1">
      <c r="B58" s="122"/>
      <c r="C58" s="123"/>
      <c r="D58" s="123"/>
      <c r="E58" s="123"/>
    </row>
    <row r="59" spans="2:5" ht="15" customHeight="1">
      <c r="B59" s="127"/>
      <c r="C59" s="123"/>
      <c r="D59" s="123"/>
      <c r="E59" s="123"/>
    </row>
    <row r="60" spans="2:5" ht="15" customHeight="1">
      <c r="B60" s="123"/>
      <c r="C60" s="123"/>
      <c r="D60" s="123"/>
      <c r="E60" s="123"/>
    </row>
    <row r="61" spans="2:5" ht="15" customHeight="1">
      <c r="B61" s="122"/>
      <c r="C61" s="122"/>
      <c r="D61" s="123"/>
      <c r="E61" s="123"/>
    </row>
    <row r="62" spans="2:5" ht="15" customHeight="1">
      <c r="B62" s="127"/>
      <c r="C62" s="122"/>
      <c r="D62" s="123"/>
      <c r="E62" s="123"/>
    </row>
    <row r="63" spans="2:5" ht="15" customHeight="1">
      <c r="B63" s="123"/>
      <c r="C63" s="123"/>
      <c r="D63" s="123"/>
      <c r="E63" s="123"/>
    </row>
    <row r="64" spans="2:5" ht="15" customHeight="1">
      <c r="B64" s="122"/>
      <c r="C64" s="123"/>
      <c r="D64" s="123"/>
      <c r="E64" s="123"/>
    </row>
  </sheetData>
  <sheetProtection/>
  <mergeCells count="18">
    <mergeCell ref="C38:D38"/>
    <mergeCell ref="C31:D31"/>
    <mergeCell ref="C35:D35"/>
    <mergeCell ref="C37:D37"/>
    <mergeCell ref="C33:D33"/>
    <mergeCell ref="C29:D29"/>
    <mergeCell ref="C30:D30"/>
    <mergeCell ref="C32:D32"/>
    <mergeCell ref="C34:D34"/>
    <mergeCell ref="C36:D36"/>
    <mergeCell ref="D16:E16"/>
    <mergeCell ref="A26:G26"/>
    <mergeCell ref="D27:E27"/>
    <mergeCell ref="A1:I2"/>
    <mergeCell ref="C28:D28"/>
    <mergeCell ref="D5:E5"/>
    <mergeCell ref="A4:G4"/>
    <mergeCell ref="A15:I15"/>
  </mergeCells>
  <dataValidations count="1">
    <dataValidation type="list" allowBlank="1" showInputMessage="1" showErrorMessage="1" sqref="E37 E38">
      <formula1>$A$9:$A$11</formula1>
    </dataValidation>
  </dataValidations>
  <printOptions/>
  <pageMargins left="0.75" right="0.75" top="1" bottom="1" header="0.5" footer="0.5"/>
  <pageSetup orientation="landscape"/>
  <legacyDrawing r:id="rId2"/>
</worksheet>
</file>

<file path=xl/worksheets/sheet6.xml><?xml version="1.0" encoding="utf-8"?>
<worksheet xmlns="http://schemas.openxmlformats.org/spreadsheetml/2006/main" xmlns:r="http://schemas.openxmlformats.org/officeDocument/2006/relationships">
  <dimension ref="A1:K56"/>
  <sheetViews>
    <sheetView zoomScale="85" zoomScaleNormal="85" zoomScalePageLayoutView="0" workbookViewId="0" topLeftCell="A1">
      <selection activeCell="F2" sqref="F2:G2"/>
    </sheetView>
  </sheetViews>
  <sheetFormatPr defaultColWidth="11.00390625" defaultRowHeight="12.75"/>
  <cols>
    <col min="1" max="1" width="41.75390625" style="0" customWidth="1"/>
    <col min="2" max="2" width="26.375" style="0" customWidth="1"/>
    <col min="3" max="6" width="11.00390625" style="0" customWidth="1"/>
    <col min="7" max="7" width="19.625" style="0" bestFit="1" customWidth="1"/>
    <col min="8" max="8" width="31.625" style="0" bestFit="1" customWidth="1"/>
  </cols>
  <sheetData>
    <row r="1" spans="1:11" ht="15" customHeight="1">
      <c r="A1" s="703" t="s">
        <v>78</v>
      </c>
      <c r="B1" s="703"/>
      <c r="C1" s="703"/>
      <c r="D1" s="493"/>
      <c r="E1" s="493"/>
      <c r="F1" s="493"/>
      <c r="G1" s="5"/>
      <c r="H1" s="5"/>
      <c r="I1" s="5"/>
      <c r="J1" s="5"/>
      <c r="K1" s="5"/>
    </row>
    <row r="2" spans="1:11" ht="15" customHeight="1" thickBot="1">
      <c r="A2" s="704"/>
      <c r="B2" s="704"/>
      <c r="C2" s="704"/>
      <c r="D2" s="493"/>
      <c r="E2" s="493"/>
      <c r="F2" s="707" t="s">
        <v>57</v>
      </c>
      <c r="G2" s="708"/>
      <c r="H2" s="5"/>
      <c r="I2" s="5"/>
      <c r="J2" s="5"/>
      <c r="K2" s="5"/>
    </row>
    <row r="3" spans="1:11" ht="15" customHeight="1">
      <c r="A3" s="494"/>
      <c r="B3" s="494"/>
      <c r="C3" s="494"/>
      <c r="D3" s="494"/>
      <c r="E3" s="494"/>
      <c r="F3" s="495">
        <v>1.151</v>
      </c>
      <c r="G3" s="496" t="s">
        <v>215</v>
      </c>
      <c r="H3" s="5"/>
      <c r="I3" s="5"/>
      <c r="J3" s="5"/>
      <c r="K3" s="5"/>
    </row>
    <row r="4" spans="1:11" ht="16.5" customHeight="1">
      <c r="A4" s="705" t="s">
        <v>202</v>
      </c>
      <c r="B4" s="706"/>
      <c r="C4" s="497"/>
      <c r="D4" s="498"/>
      <c r="E4" s="498"/>
      <c r="F4" s="495">
        <v>24</v>
      </c>
      <c r="G4" s="496" t="s">
        <v>216</v>
      </c>
      <c r="H4" s="5"/>
      <c r="I4" s="5"/>
      <c r="J4" s="5"/>
      <c r="K4" s="5"/>
    </row>
    <row r="5" spans="1:11" ht="16.5" customHeight="1">
      <c r="A5" s="499" t="s">
        <v>205</v>
      </c>
      <c r="B5" s="500" t="str">
        <f>'Ports and Distributors'!B5</f>
        <v>China</v>
      </c>
      <c r="C5" s="497"/>
      <c r="D5" s="498"/>
      <c r="E5" s="498"/>
      <c r="F5" s="495">
        <v>1728</v>
      </c>
      <c r="G5" s="496" t="s">
        <v>217</v>
      </c>
      <c r="H5" s="5"/>
      <c r="I5" s="5"/>
      <c r="J5" s="5"/>
      <c r="K5" s="5"/>
    </row>
    <row r="6" spans="1:11" ht="16.5" customHeight="1">
      <c r="A6" s="501"/>
      <c r="B6" s="502" t="s">
        <v>124</v>
      </c>
      <c r="C6" s="497"/>
      <c r="D6" s="498"/>
      <c r="E6" s="498"/>
      <c r="F6" s="495">
        <v>1.08</v>
      </c>
      <c r="G6" s="496" t="s">
        <v>218</v>
      </c>
      <c r="H6" s="5"/>
      <c r="I6" s="5"/>
      <c r="J6" s="5"/>
      <c r="K6" s="5"/>
    </row>
    <row r="7" spans="1:11" ht="16.5" customHeight="1">
      <c r="A7" s="499" t="s">
        <v>125</v>
      </c>
      <c r="B7" s="500" t="str">
        <f>Port</f>
        <v>Los Angeles</v>
      </c>
      <c r="C7" s="497"/>
      <c r="D7" s="498"/>
      <c r="E7" s="498"/>
      <c r="F7" s="495">
        <v>6.3</v>
      </c>
      <c r="G7" s="496" t="s">
        <v>220</v>
      </c>
      <c r="H7" s="7"/>
      <c r="I7" s="7"/>
      <c r="J7" s="5"/>
      <c r="K7" s="5"/>
    </row>
    <row r="8" spans="1:11" ht="14.25" customHeight="1">
      <c r="A8" s="503"/>
      <c r="B8" s="502" t="s">
        <v>124</v>
      </c>
      <c r="C8" s="497"/>
      <c r="D8" s="498"/>
      <c r="E8" s="498"/>
      <c r="F8" s="495">
        <v>2000</v>
      </c>
      <c r="G8" s="496" t="s">
        <v>46</v>
      </c>
      <c r="H8" s="6"/>
      <c r="I8" s="5"/>
      <c r="J8" s="5"/>
      <c r="K8" s="5"/>
    </row>
    <row r="9" spans="1:11" ht="14.25" customHeight="1">
      <c r="A9" s="504" t="s">
        <v>126</v>
      </c>
      <c r="B9" s="505" t="str">
        <f>Distributor</f>
        <v>Robert Hamm</v>
      </c>
      <c r="C9" s="497"/>
      <c r="D9" s="498"/>
      <c r="E9" s="498"/>
      <c r="F9" s="495">
        <v>1360</v>
      </c>
      <c r="G9" s="496" t="s">
        <v>223</v>
      </c>
      <c r="H9" s="6"/>
      <c r="I9" s="5"/>
      <c r="J9" s="5"/>
      <c r="K9" s="5"/>
    </row>
    <row r="10" spans="1:11" ht="14.25">
      <c r="A10" s="5"/>
      <c r="B10" s="5"/>
      <c r="C10" s="5"/>
      <c r="D10" s="5"/>
      <c r="E10" s="5"/>
      <c r="F10" s="495">
        <f>F9*F14</f>
        <v>2992000</v>
      </c>
      <c r="G10" s="496" t="s">
        <v>225</v>
      </c>
      <c r="H10" s="5"/>
      <c r="I10" s="5"/>
      <c r="J10" s="5"/>
      <c r="K10" s="5"/>
    </row>
    <row r="11" spans="1:11" ht="16.5" customHeight="1">
      <c r="A11" s="705" t="s">
        <v>132</v>
      </c>
      <c r="B11" s="706"/>
      <c r="C11" s="442"/>
      <c r="D11" s="5"/>
      <c r="E11" s="5"/>
      <c r="F11" s="495">
        <f>F10*F5</f>
        <v>5170176000</v>
      </c>
      <c r="G11" s="496" t="s">
        <v>227</v>
      </c>
      <c r="H11" s="5"/>
      <c r="I11" s="5"/>
      <c r="J11" s="5"/>
      <c r="K11" s="5"/>
    </row>
    <row r="12" spans="1:11" ht="16.5" customHeight="1">
      <c r="A12" s="506" t="str">
        <f>CONCATENATE("Distance:  ",'Ports and Distributors'!B5," to ",'User Interface'!E18)</f>
        <v>Distance:  China to Los Angeles</v>
      </c>
      <c r="B12" s="414">
        <f>'Ports and Distributors'!F5</f>
        <v>7344</v>
      </c>
      <c r="C12" s="507" t="s">
        <v>206</v>
      </c>
      <c r="D12" s="5"/>
      <c r="E12" s="5"/>
      <c r="F12" s="495">
        <v>1080</v>
      </c>
      <c r="G12" s="496" t="s">
        <v>229</v>
      </c>
      <c r="H12" s="5"/>
      <c r="I12" s="5"/>
      <c r="J12" s="5"/>
      <c r="K12" s="5"/>
    </row>
    <row r="13" spans="1:11" ht="15">
      <c r="A13" s="508" t="str">
        <f>CONCATENATE("Distance:  ",'User Interface'!E18," to ",'User Interface'!E17)</f>
        <v>Distance:  Los Angeles to Robert Hamm</v>
      </c>
      <c r="B13" s="415">
        <f>PortToDist</f>
        <v>392</v>
      </c>
      <c r="C13" s="409" t="s">
        <v>206</v>
      </c>
      <c r="D13" s="22"/>
      <c r="E13" s="5"/>
      <c r="F13" s="387"/>
      <c r="G13" s="496"/>
      <c r="H13" s="5"/>
      <c r="I13" s="5"/>
      <c r="J13" s="5"/>
      <c r="K13" s="5"/>
    </row>
    <row r="14" spans="1:11" ht="15">
      <c r="A14" s="508" t="str">
        <f>CONCATENATE("Distance: ",'User Interface'!E17," to Arcata")</f>
        <v>Distance: Robert Hamm to Arcata</v>
      </c>
      <c r="B14" s="416">
        <f>VLOOKUP(B9,DistDist,2)</f>
        <v>341.4</v>
      </c>
      <c r="C14" s="409" t="s">
        <v>206</v>
      </c>
      <c r="D14" s="22"/>
      <c r="E14" s="5"/>
      <c r="F14" s="509">
        <v>2200</v>
      </c>
      <c r="G14" s="496" t="s">
        <v>212</v>
      </c>
      <c r="I14" s="22"/>
      <c r="J14" s="5"/>
      <c r="K14" s="5"/>
    </row>
    <row r="15" spans="1:11" ht="15">
      <c r="A15" s="510" t="s">
        <v>118</v>
      </c>
      <c r="B15" s="416">
        <f>TrucksIn</f>
        <v>0.531425745960009</v>
      </c>
      <c r="C15" s="409" t="s">
        <v>106</v>
      </c>
      <c r="D15" s="5"/>
      <c r="E15" s="5"/>
      <c r="F15" s="495">
        <v>19.5</v>
      </c>
      <c r="G15" s="388" t="s">
        <v>213</v>
      </c>
      <c r="I15" s="22"/>
      <c r="J15" s="5"/>
      <c r="K15" s="5"/>
    </row>
    <row r="16" spans="1:11" ht="15">
      <c r="A16" s="142" t="s">
        <v>207</v>
      </c>
      <c r="B16" s="142">
        <v>5.8</v>
      </c>
      <c r="C16" s="143" t="s">
        <v>47</v>
      </c>
      <c r="D16" s="2"/>
      <c r="E16" s="5"/>
      <c r="F16" s="495">
        <v>62</v>
      </c>
      <c r="G16" s="496" t="s">
        <v>214</v>
      </c>
      <c r="H16" s="138"/>
      <c r="I16" s="22"/>
      <c r="J16" s="5"/>
      <c r="K16" s="5"/>
    </row>
    <row r="17" spans="1:11" ht="15">
      <c r="A17" s="135" t="s">
        <v>208</v>
      </c>
      <c r="B17" s="417">
        <f>SUM(B13+B14)*2</f>
        <v>1466.8</v>
      </c>
      <c r="C17" s="143" t="s">
        <v>206</v>
      </c>
      <c r="D17" s="5"/>
      <c r="E17" s="5"/>
      <c r="F17" s="495"/>
      <c r="G17" s="496"/>
      <c r="H17" s="117"/>
      <c r="I17" s="22"/>
      <c r="J17" s="5"/>
      <c r="K17" s="5"/>
    </row>
    <row r="18" spans="1:11" ht="15">
      <c r="A18" s="134" t="s">
        <v>209</v>
      </c>
      <c r="B18" s="417">
        <f>'Ports and Distributors'!F5</f>
        <v>7344</v>
      </c>
      <c r="C18" s="143" t="s">
        <v>206</v>
      </c>
      <c r="D18" s="121"/>
      <c r="E18" s="5"/>
      <c r="F18" s="495">
        <f>F15*F3</f>
        <v>22.4445</v>
      </c>
      <c r="G18" s="496" t="s">
        <v>219</v>
      </c>
      <c r="H18" s="117"/>
      <c r="I18" s="22"/>
      <c r="J18" s="5"/>
      <c r="K18" s="5"/>
    </row>
    <row r="19" spans="1:11" ht="15">
      <c r="A19" s="135" t="s">
        <v>210</v>
      </c>
      <c r="B19" s="417">
        <f>B17*B15/B16</f>
        <v>134.395738650714</v>
      </c>
      <c r="C19" s="418" t="s">
        <v>175</v>
      </c>
      <c r="D19" s="121"/>
      <c r="E19" s="5"/>
      <c r="F19" s="495">
        <f>B12/F18</f>
        <v>327.2071108734879</v>
      </c>
      <c r="G19" s="496" t="s">
        <v>221</v>
      </c>
      <c r="H19" s="8"/>
      <c r="I19" s="22"/>
      <c r="J19" s="5"/>
      <c r="K19" s="5"/>
    </row>
    <row r="20" spans="1:11" ht="15">
      <c r="A20" s="134" t="s">
        <v>211</v>
      </c>
      <c r="B20" s="417">
        <f>F21*F23*F8/F7</f>
        <v>168.16372159552003</v>
      </c>
      <c r="C20" s="141" t="s">
        <v>175</v>
      </c>
      <c r="D20" s="121"/>
      <c r="E20" s="5"/>
      <c r="F20" s="495">
        <f>F19/F4</f>
        <v>13.633629619728664</v>
      </c>
      <c r="G20" s="496" t="s">
        <v>222</v>
      </c>
      <c r="I20" s="22"/>
      <c r="J20" s="5"/>
      <c r="K20" s="5"/>
    </row>
    <row r="21" spans="1:11" ht="15" customHeight="1">
      <c r="A21" s="511"/>
      <c r="B21" s="417"/>
      <c r="C21" s="409"/>
      <c r="D21" s="124"/>
      <c r="E21" s="2"/>
      <c r="F21" s="495">
        <f>F20*F16</f>
        <v>845.2850364231772</v>
      </c>
      <c r="G21" s="496" t="s">
        <v>224</v>
      </c>
      <c r="H21" s="137"/>
      <c r="I21" s="5"/>
      <c r="J21" s="5"/>
      <c r="K21" s="5"/>
    </row>
    <row r="22" spans="1:11" ht="15" customHeight="1">
      <c r="A22" s="184" t="s">
        <v>65</v>
      </c>
      <c r="B22" s="185">
        <f>SUM(B17:B18)</f>
        <v>8810.8</v>
      </c>
      <c r="C22" s="512" t="s">
        <v>206</v>
      </c>
      <c r="D22" s="2"/>
      <c r="E22" s="2"/>
      <c r="F22" s="495"/>
      <c r="G22" s="496"/>
      <c r="H22" s="137"/>
      <c r="I22" s="5"/>
      <c r="J22" s="5"/>
      <c r="K22" s="5"/>
    </row>
    <row r="23" spans="1:11" ht="14.25" customHeight="1">
      <c r="A23" s="184" t="s">
        <v>230</v>
      </c>
      <c r="B23" s="185">
        <f>SUM(B19:B20)</f>
        <v>302.55946024623404</v>
      </c>
      <c r="C23" s="512" t="s">
        <v>175</v>
      </c>
      <c r="D23" s="5"/>
      <c r="E23" s="5"/>
      <c r="F23" s="513">
        <f>(ArcataBags*F6/F11)</f>
        <v>0.0006266711229946524</v>
      </c>
      <c r="G23" s="496" t="s">
        <v>226</v>
      </c>
      <c r="H23" s="137"/>
      <c r="I23" s="5"/>
      <c r="J23" s="5"/>
      <c r="K23" s="5"/>
    </row>
    <row r="24" spans="1:11" ht="14.25">
      <c r="A24" s="8"/>
      <c r="B24" s="2"/>
      <c r="C24" s="2"/>
      <c r="D24" s="2"/>
      <c r="E24" s="2"/>
      <c r="F24" s="514">
        <f>F21*F23</f>
        <v>0.5297157230258881</v>
      </c>
      <c r="G24" s="515" t="s">
        <v>228</v>
      </c>
      <c r="H24" s="137"/>
      <c r="I24" s="5"/>
      <c r="J24" s="5"/>
      <c r="K24" s="5"/>
    </row>
    <row r="25" spans="1:11" ht="14.25">
      <c r="A25" s="8"/>
      <c r="B25" s="8"/>
      <c r="C25" s="8"/>
      <c r="D25" s="5"/>
      <c r="E25" s="5"/>
      <c r="F25" s="2"/>
      <c r="G25" s="2"/>
      <c r="I25" s="5"/>
      <c r="J25" s="5"/>
      <c r="K25" s="5"/>
    </row>
    <row r="26" spans="4:11" ht="14.25">
      <c r="D26" s="5"/>
      <c r="E26" s="5"/>
      <c r="I26" s="5"/>
      <c r="J26" s="5"/>
      <c r="K26" s="5"/>
    </row>
    <row r="27" spans="1:11" ht="15">
      <c r="A27" s="260"/>
      <c r="B27" s="261"/>
      <c r="C27" s="261"/>
      <c r="G27" s="5"/>
      <c r="H27" s="5"/>
      <c r="I27" s="5"/>
      <c r="J27" s="5"/>
      <c r="K27" s="5"/>
    </row>
    <row r="28" spans="1:11" ht="15">
      <c r="A28" s="257"/>
      <c r="B28" s="257"/>
      <c r="C28" s="257"/>
      <c r="D28" s="6"/>
      <c r="E28" s="6"/>
      <c r="F28" s="6"/>
      <c r="G28" s="5"/>
      <c r="H28" s="5"/>
      <c r="I28" s="5"/>
      <c r="J28" s="5"/>
      <c r="K28" s="5"/>
    </row>
    <row r="29" spans="3:11" ht="14.25">
      <c r="C29" s="8"/>
      <c r="D29" s="258"/>
      <c r="E29" s="259"/>
      <c r="F29" s="259"/>
      <c r="G29" s="5"/>
      <c r="H29" s="5"/>
      <c r="I29" s="5"/>
      <c r="J29" s="5"/>
      <c r="K29" s="5"/>
    </row>
    <row r="30" spans="1:11" ht="15">
      <c r="A30" s="19"/>
      <c r="B30" s="8"/>
      <c r="C30" s="8"/>
      <c r="D30" s="8"/>
      <c r="E30" s="8"/>
      <c r="F30" s="8"/>
      <c r="G30" s="5"/>
      <c r="H30" s="5"/>
      <c r="I30" s="5"/>
      <c r="J30" s="5"/>
      <c r="K30" s="5"/>
    </row>
    <row r="31" spans="1:11" ht="14.25">
      <c r="A31" s="102"/>
      <c r="B31" s="139"/>
      <c r="C31" s="102"/>
      <c r="D31" s="8"/>
      <c r="E31" s="8"/>
      <c r="F31" s="8"/>
      <c r="G31" s="5"/>
      <c r="H31" s="5"/>
      <c r="I31" s="5"/>
      <c r="J31" s="5"/>
      <c r="K31" s="5"/>
    </row>
    <row r="32" spans="1:11" ht="14.25">
      <c r="A32" s="103"/>
      <c r="B32" s="140"/>
      <c r="C32" s="102"/>
      <c r="D32" s="102"/>
      <c r="E32" s="102"/>
      <c r="F32" s="8"/>
      <c r="G32" s="5"/>
      <c r="H32" s="5"/>
      <c r="I32" s="5"/>
      <c r="J32" s="5"/>
      <c r="K32" s="5"/>
    </row>
    <row r="33" spans="1:11" ht="14.25">
      <c r="A33" s="117"/>
      <c r="B33" s="117"/>
      <c r="C33" s="117"/>
      <c r="D33" s="102"/>
      <c r="E33" s="117"/>
      <c r="F33" s="8"/>
      <c r="G33" s="5"/>
      <c r="H33" s="5"/>
      <c r="I33" s="5"/>
      <c r="J33" s="5"/>
      <c r="K33" s="5"/>
    </row>
    <row r="34" spans="1:5" ht="12.75">
      <c r="A34" s="117"/>
      <c r="B34" s="117"/>
      <c r="C34" s="117"/>
      <c r="D34" s="117"/>
      <c r="E34" s="117"/>
    </row>
    <row r="35" spans="1:5" ht="12.75">
      <c r="A35" s="117"/>
      <c r="B35" s="117"/>
      <c r="C35" s="117"/>
      <c r="D35" s="117"/>
      <c r="E35" s="117"/>
    </row>
    <row r="36" spans="1:5" ht="12.75">
      <c r="A36" s="117"/>
      <c r="B36" s="117"/>
      <c r="C36" s="117"/>
      <c r="D36" s="117"/>
      <c r="E36" s="117"/>
    </row>
    <row r="37" spans="1:5" ht="12.75">
      <c r="A37" s="117"/>
      <c r="B37" s="117"/>
      <c r="C37" s="117"/>
      <c r="D37" s="117"/>
      <c r="E37" s="117"/>
    </row>
    <row r="38" spans="1:5" ht="12.75">
      <c r="A38" s="117"/>
      <c r="B38" s="117"/>
      <c r="C38" s="117"/>
      <c r="D38" s="117"/>
      <c r="E38" s="117"/>
    </row>
    <row r="39" spans="1:5" ht="12.75">
      <c r="A39" s="117"/>
      <c r="B39" s="117"/>
      <c r="C39" s="117"/>
      <c r="D39" s="117"/>
      <c r="E39" s="117"/>
    </row>
    <row r="40" spans="1:5" ht="12.75">
      <c r="A40" s="117"/>
      <c r="B40" s="117"/>
      <c r="C40" s="117"/>
      <c r="D40" s="117"/>
      <c r="E40" s="117"/>
    </row>
    <row r="41" spans="1:5" ht="12.75">
      <c r="A41" s="117"/>
      <c r="B41" s="117"/>
      <c r="C41" s="117"/>
      <c r="D41" s="117"/>
      <c r="E41" s="117"/>
    </row>
    <row r="42" spans="1:5" ht="12.75">
      <c r="A42" s="117"/>
      <c r="B42" s="117"/>
      <c r="C42" s="117"/>
      <c r="D42" s="117"/>
      <c r="E42" s="117"/>
    </row>
    <row r="43" spans="1:5" ht="12.75">
      <c r="A43" s="117"/>
      <c r="B43" s="117"/>
      <c r="C43" s="117"/>
      <c r="D43" s="117"/>
      <c r="E43" s="117"/>
    </row>
    <row r="44" spans="4:5" ht="12.75">
      <c r="D44" s="117"/>
      <c r="E44" s="117"/>
    </row>
    <row r="56" ht="12.75">
      <c r="B56" s="136"/>
    </row>
  </sheetData>
  <sheetProtection/>
  <mergeCells count="4">
    <mergeCell ref="A1:C2"/>
    <mergeCell ref="A4:B4"/>
    <mergeCell ref="A11:B11"/>
    <mergeCell ref="F2:G2"/>
  </mergeCells>
  <printOptions/>
  <pageMargins left="0.75" right="0.75" top="1" bottom="1" header="0.5" footer="0.5"/>
  <pageSetup orientation="landscape"/>
  <legacyDrawing r:id="rId2"/>
</worksheet>
</file>

<file path=xl/worksheets/sheet7.xml><?xml version="1.0" encoding="utf-8"?>
<worksheet xmlns="http://schemas.openxmlformats.org/spreadsheetml/2006/main" xmlns:r="http://schemas.openxmlformats.org/officeDocument/2006/relationships">
  <dimension ref="A1:R44"/>
  <sheetViews>
    <sheetView zoomScale="85" zoomScaleNormal="85" zoomScalePageLayoutView="0" workbookViewId="0" topLeftCell="A1">
      <selection activeCell="F3" sqref="F3:H3"/>
    </sheetView>
  </sheetViews>
  <sheetFormatPr defaultColWidth="7.625" defaultRowHeight="12.75" customHeight="1"/>
  <cols>
    <col min="1" max="1" width="30.25390625" style="1" customWidth="1"/>
    <col min="2" max="2" width="7.875" style="1" customWidth="1"/>
    <col min="3" max="3" width="15.00390625" style="1" customWidth="1"/>
    <col min="4" max="4" width="10.00390625" style="1" customWidth="1"/>
    <col min="5" max="5" width="4.00390625" style="1" customWidth="1"/>
    <col min="6" max="6" width="16.75390625" style="1" bestFit="1" customWidth="1"/>
    <col min="7" max="7" width="5.625" style="1" customWidth="1"/>
    <col min="8" max="8" width="11.75390625" style="1" bestFit="1" customWidth="1"/>
    <col min="9" max="16384" width="7.625" style="1" customWidth="1"/>
  </cols>
  <sheetData>
    <row r="1" spans="1:18" ht="27" thickBot="1">
      <c r="A1" s="709" t="s">
        <v>163</v>
      </c>
      <c r="B1" s="709"/>
      <c r="C1" s="709"/>
      <c r="D1" s="709"/>
      <c r="E1" s="709"/>
      <c r="F1" s="709"/>
      <c r="G1" s="709"/>
      <c r="H1" s="709"/>
      <c r="I1" s="11"/>
      <c r="J1" s="11"/>
      <c r="K1" s="11"/>
      <c r="L1" s="11"/>
      <c r="M1" s="11"/>
      <c r="N1" s="11"/>
      <c r="O1" s="11"/>
      <c r="P1" s="11"/>
      <c r="Q1" s="11"/>
      <c r="R1" s="11"/>
    </row>
    <row r="2" spans="1:18" ht="12.75" customHeight="1">
      <c r="A2" s="38"/>
      <c r="B2" s="38"/>
      <c r="C2" s="38"/>
      <c r="D2" s="38"/>
      <c r="E2" s="38"/>
      <c r="F2" s="38"/>
      <c r="G2" s="38"/>
      <c r="H2" s="38"/>
      <c r="I2" s="11"/>
      <c r="J2" s="11"/>
      <c r="K2" s="11"/>
      <c r="L2" s="11"/>
      <c r="M2" s="11"/>
      <c r="N2" s="11"/>
      <c r="O2" s="11"/>
      <c r="P2" s="11"/>
      <c r="Q2" s="11"/>
      <c r="R2" s="11"/>
    </row>
    <row r="3" spans="1:18" ht="14.25" customHeight="1">
      <c r="A3" s="186" t="s">
        <v>37</v>
      </c>
      <c r="B3" s="187">
        <f>EngBagWeight/G6</f>
        <v>20.85</v>
      </c>
      <c r="C3" s="186" t="s">
        <v>49</v>
      </c>
      <c r="D3" s="186"/>
      <c r="E3" s="188"/>
      <c r="F3" s="719" t="s">
        <v>57</v>
      </c>
      <c r="G3" s="720"/>
      <c r="H3" s="721"/>
      <c r="I3" s="11"/>
      <c r="J3" s="11"/>
      <c r="K3" s="11"/>
      <c r="L3" s="11"/>
      <c r="M3" s="11"/>
      <c r="N3" s="11"/>
      <c r="O3" s="11"/>
      <c r="P3" s="11"/>
      <c r="Q3" s="11"/>
      <c r="R3" s="11"/>
    </row>
    <row r="4" spans="1:18" ht="12.75" customHeight="1">
      <c r="A4" s="189"/>
      <c r="B4" s="189"/>
      <c r="C4" s="189"/>
      <c r="D4" s="186"/>
      <c r="E4" s="189"/>
      <c r="F4" s="516" t="s">
        <v>199</v>
      </c>
      <c r="G4" s="517">
        <v>21</v>
      </c>
      <c r="H4" s="518" t="s">
        <v>45</v>
      </c>
      <c r="I4" s="11"/>
      <c r="J4" s="11"/>
      <c r="K4" s="11"/>
      <c r="L4" s="11"/>
      <c r="M4" s="11"/>
      <c r="N4" s="11"/>
      <c r="O4" s="11"/>
      <c r="P4" s="11"/>
      <c r="Q4" s="11"/>
      <c r="R4" s="11"/>
    </row>
    <row r="5" spans="1:18" ht="14.25" customHeight="1">
      <c r="A5" s="190" t="s">
        <v>62</v>
      </c>
      <c r="B5" s="191">
        <f>1-B6</f>
        <v>0.98</v>
      </c>
      <c r="C5" s="192" t="s">
        <v>155</v>
      </c>
      <c r="D5" s="186"/>
      <c r="E5" s="193"/>
      <c r="F5" s="519" t="s">
        <v>157</v>
      </c>
      <c r="G5" s="520">
        <v>4.5</v>
      </c>
      <c r="H5" s="521" t="s">
        <v>36</v>
      </c>
      <c r="I5" s="11"/>
      <c r="J5" s="11"/>
      <c r="K5" s="11"/>
      <c r="L5" s="11"/>
      <c r="M5" s="11"/>
      <c r="N5" s="11"/>
      <c r="O5" s="11"/>
      <c r="P5" s="11"/>
      <c r="Q5" s="11"/>
      <c r="R5" s="11"/>
    </row>
    <row r="6" spans="1:18" ht="14.25" customHeight="1">
      <c r="A6" s="194"/>
      <c r="B6" s="195">
        <f>ABRecycled</f>
        <v>0.02</v>
      </c>
      <c r="C6" s="192" t="s">
        <v>156</v>
      </c>
      <c r="D6" s="186"/>
      <c r="E6" s="189"/>
      <c r="F6" s="519"/>
      <c r="G6" s="520">
        <v>2000</v>
      </c>
      <c r="H6" s="521" t="s">
        <v>46</v>
      </c>
      <c r="I6" s="11"/>
      <c r="J6" s="11"/>
      <c r="K6" s="11"/>
      <c r="L6" s="11"/>
      <c r="M6" s="11"/>
      <c r="N6" s="11"/>
      <c r="O6" s="11"/>
      <c r="P6" s="11"/>
      <c r="Q6" s="11"/>
      <c r="R6" s="11"/>
    </row>
    <row r="7" spans="1:18" ht="12.75" customHeight="1">
      <c r="A7" s="186"/>
      <c r="B7" s="196"/>
      <c r="C7" s="186"/>
      <c r="D7" s="186"/>
      <c r="E7" s="197"/>
      <c r="F7" s="519"/>
      <c r="G7" s="522">
        <v>2.2046</v>
      </c>
      <c r="H7" s="521" t="s">
        <v>50</v>
      </c>
      <c r="I7" s="11"/>
      <c r="J7" s="11"/>
      <c r="K7" s="11"/>
      <c r="L7" s="11"/>
      <c r="M7" s="11"/>
      <c r="N7" s="11"/>
      <c r="O7" s="11"/>
      <c r="P7" s="11"/>
      <c r="Q7" s="11"/>
      <c r="R7" s="11"/>
    </row>
    <row r="8" spans="1:17" ht="16.5" customHeight="1">
      <c r="A8" s="724" t="s">
        <v>39</v>
      </c>
      <c r="B8" s="725"/>
      <c r="C8" s="725"/>
      <c r="D8" s="726"/>
      <c r="E8" s="198"/>
      <c r="F8" s="523"/>
      <c r="G8" s="524">
        <v>3.2808399</v>
      </c>
      <c r="H8" s="525" t="s">
        <v>51</v>
      </c>
      <c r="I8" s="11"/>
      <c r="J8" s="11"/>
      <c r="K8" s="11"/>
      <c r="L8" s="11"/>
      <c r="M8" s="11"/>
      <c r="N8" s="11"/>
      <c r="O8" s="11"/>
      <c r="P8" s="11"/>
      <c r="Q8" s="11"/>
    </row>
    <row r="9" spans="1:17" ht="12.75" customHeight="1">
      <c r="A9" s="710" t="s">
        <v>38</v>
      </c>
      <c r="B9" s="711"/>
      <c r="C9" s="711"/>
      <c r="D9" s="712"/>
      <c r="E9" s="188"/>
      <c r="F9" s="199"/>
      <c r="G9" s="200"/>
      <c r="H9" s="201"/>
      <c r="I9" s="11"/>
      <c r="J9" s="11"/>
      <c r="K9" s="11"/>
      <c r="L9" s="11"/>
      <c r="M9" s="11"/>
      <c r="N9" s="11"/>
      <c r="O9" s="11"/>
      <c r="P9" s="11"/>
      <c r="Q9" s="11"/>
    </row>
    <row r="10" spans="1:15" ht="12.75" customHeight="1">
      <c r="A10" s="202" t="s">
        <v>134</v>
      </c>
      <c r="B10" s="203" t="s">
        <v>52</v>
      </c>
      <c r="C10" s="722" t="s">
        <v>198</v>
      </c>
      <c r="D10" s="723"/>
      <c r="E10" s="188"/>
      <c r="F10" s="201"/>
      <c r="G10" s="201"/>
      <c r="H10" s="201"/>
      <c r="I10" s="11"/>
      <c r="J10" s="11"/>
      <c r="K10" s="11"/>
      <c r="L10" s="11"/>
      <c r="M10" s="11"/>
      <c r="N10" s="11"/>
      <c r="O10" s="11"/>
    </row>
    <row r="11" spans="1:15" ht="12.75" customHeight="1">
      <c r="A11" s="204" t="s">
        <v>53</v>
      </c>
      <c r="B11" s="205">
        <f>0.73</f>
        <v>0.73</v>
      </c>
      <c r="C11" s="206">
        <f>2*166</f>
        <v>332</v>
      </c>
      <c r="D11" s="207" t="s">
        <v>200</v>
      </c>
      <c r="E11" s="188"/>
      <c r="F11" s="201"/>
      <c r="G11" s="201"/>
      <c r="H11" s="201"/>
      <c r="I11" s="11"/>
      <c r="J11" s="11"/>
      <c r="K11" s="11"/>
      <c r="L11" s="11"/>
      <c r="M11" s="11"/>
      <c r="N11" s="11"/>
      <c r="O11" s="11"/>
    </row>
    <row r="12" spans="1:16" ht="12.75" customHeight="1">
      <c r="A12" s="204" t="s">
        <v>55</v>
      </c>
      <c r="B12" s="205">
        <v>0.27</v>
      </c>
      <c r="C12" s="206">
        <f>2*195</f>
        <v>390</v>
      </c>
      <c r="D12" s="162" t="s">
        <v>200</v>
      </c>
      <c r="E12" s="198"/>
      <c r="F12" s="201"/>
      <c r="H12" s="201"/>
      <c r="I12" s="11"/>
      <c r="J12" s="11"/>
      <c r="K12" s="11"/>
      <c r="L12" s="11"/>
      <c r="M12" s="11"/>
      <c r="N12" s="11"/>
      <c r="O12" s="11"/>
      <c r="P12" s="11"/>
    </row>
    <row r="13" spans="1:16" ht="12.75" customHeight="1">
      <c r="A13" s="202" t="s">
        <v>164</v>
      </c>
      <c r="B13" s="208">
        <f>SUM(B11:B12)</f>
        <v>1</v>
      </c>
      <c r="C13" s="209">
        <f>(B11*C11)+(B12*C12)</f>
        <v>347.65999999999997</v>
      </c>
      <c r="D13" s="210" t="s">
        <v>200</v>
      </c>
      <c r="E13" s="188"/>
      <c r="F13" s="201"/>
      <c r="G13" s="201"/>
      <c r="H13" s="201"/>
      <c r="I13" s="11"/>
      <c r="J13" s="11"/>
      <c r="K13" s="11"/>
      <c r="L13" s="11"/>
      <c r="M13" s="11"/>
      <c r="N13" s="11"/>
      <c r="O13" s="11"/>
      <c r="P13" s="11"/>
    </row>
    <row r="14" spans="1:18" ht="12.75" customHeight="1">
      <c r="A14" s="202"/>
      <c r="B14" s="211"/>
      <c r="C14" s="203"/>
      <c r="D14" s="212"/>
      <c r="E14" s="213"/>
      <c r="F14" s="201"/>
      <c r="G14" s="201"/>
      <c r="H14" s="201"/>
      <c r="I14" s="11"/>
      <c r="J14" s="11"/>
      <c r="K14" s="11"/>
      <c r="L14" s="11"/>
      <c r="M14" s="11"/>
      <c r="N14" s="11"/>
      <c r="O14" s="11"/>
      <c r="P14" s="11"/>
      <c r="Q14" s="11"/>
      <c r="R14" s="11"/>
    </row>
    <row r="15" spans="1:18" ht="12.75" customHeight="1">
      <c r="A15" s="713" t="s">
        <v>60</v>
      </c>
      <c r="B15" s="714"/>
      <c r="C15" s="714"/>
      <c r="D15" s="715"/>
      <c r="E15" s="213"/>
      <c r="F15" s="201"/>
      <c r="G15" s="201"/>
      <c r="H15" s="201"/>
      <c r="I15" s="11"/>
      <c r="J15" s="11"/>
      <c r="K15" s="11"/>
      <c r="L15" s="11"/>
      <c r="M15" s="11"/>
      <c r="N15" s="11"/>
      <c r="O15" s="11"/>
      <c r="P15" s="11"/>
      <c r="Q15" s="11"/>
      <c r="R15" s="11"/>
    </row>
    <row r="16" spans="1:18" ht="14.25" customHeight="1">
      <c r="A16" s="214" t="s">
        <v>61</v>
      </c>
      <c r="B16" s="215"/>
      <c r="C16" s="216">
        <v>568</v>
      </c>
      <c r="D16" s="217" t="s">
        <v>200</v>
      </c>
      <c r="E16" s="189"/>
      <c r="F16" s="200"/>
      <c r="G16" s="201"/>
      <c r="H16" s="201"/>
      <c r="I16" s="11"/>
      <c r="J16" s="11"/>
      <c r="K16" s="11"/>
      <c r="L16" s="11"/>
      <c r="M16" s="11"/>
      <c r="N16" s="11"/>
      <c r="O16" s="11"/>
      <c r="P16" s="11"/>
      <c r="Q16" s="11"/>
      <c r="R16" s="11"/>
    </row>
    <row r="17" spans="1:18" ht="17.25" customHeight="1">
      <c r="A17" s="218"/>
      <c r="B17" s="219"/>
      <c r="C17" s="198"/>
      <c r="D17" s="188"/>
      <c r="E17" s="220"/>
      <c r="F17" s="200"/>
      <c r="G17" s="201"/>
      <c r="H17" s="201"/>
      <c r="I17" s="11"/>
      <c r="J17" s="11"/>
      <c r="K17" s="11"/>
      <c r="L17" s="11"/>
      <c r="M17" s="11"/>
      <c r="N17" s="11"/>
      <c r="O17" s="11"/>
      <c r="P17" s="11"/>
      <c r="Q17" s="11"/>
      <c r="R17" s="11"/>
    </row>
    <row r="18" spans="1:18" ht="16.5" customHeight="1">
      <c r="A18" s="190" t="s">
        <v>40</v>
      </c>
      <c r="B18" s="221">
        <f>(C13*B5)+(C16*B6)</f>
        <v>352.0668</v>
      </c>
      <c r="C18" s="222" t="s">
        <v>200</v>
      </c>
      <c r="D18" s="219"/>
      <c r="E18" s="220"/>
      <c r="F18" s="201"/>
      <c r="G18" s="201"/>
      <c r="H18" s="201"/>
      <c r="I18" s="11"/>
      <c r="J18" s="11"/>
      <c r="K18" s="11"/>
      <c r="L18" s="11"/>
      <c r="M18" s="11"/>
      <c r="N18" s="11"/>
      <c r="O18" s="11"/>
      <c r="P18" s="11"/>
      <c r="Q18" s="11"/>
      <c r="R18" s="11"/>
    </row>
    <row r="19" spans="1:18" ht="12.75" customHeight="1">
      <c r="A19" s="188"/>
      <c r="B19" s="188"/>
      <c r="C19" s="188"/>
      <c r="D19" s="188"/>
      <c r="E19" s="220"/>
      <c r="F19" s="223"/>
      <c r="G19" s="201"/>
      <c r="H19" s="201"/>
      <c r="I19" s="11"/>
      <c r="J19" s="11"/>
      <c r="K19" s="11"/>
      <c r="L19" s="11"/>
      <c r="M19" s="11"/>
      <c r="N19" s="11"/>
      <c r="O19" s="11"/>
      <c r="P19" s="11"/>
      <c r="Q19" s="11"/>
      <c r="R19" s="11"/>
    </row>
    <row r="20" spans="1:8" ht="16.5" customHeight="1">
      <c r="A20" s="716" t="s">
        <v>135</v>
      </c>
      <c r="B20" s="717"/>
      <c r="C20" s="718"/>
      <c r="D20" s="188"/>
      <c r="E20" s="224"/>
      <c r="F20" s="186"/>
      <c r="G20" s="188"/>
      <c r="H20" s="188"/>
    </row>
    <row r="21" spans="1:18" ht="14.25">
      <c r="A21" s="225" t="s">
        <v>56</v>
      </c>
      <c r="B21" s="187">
        <f>TrucksOut</f>
        <v>0.9928571428571429</v>
      </c>
      <c r="C21" s="226" t="s">
        <v>106</v>
      </c>
      <c r="D21" s="189"/>
      <c r="E21" s="189"/>
      <c r="F21" s="186"/>
      <c r="G21" s="188"/>
      <c r="H21" s="224"/>
      <c r="I21" s="11"/>
      <c r="J21" s="11"/>
      <c r="K21" s="11"/>
      <c r="L21" s="11"/>
      <c r="M21" s="11"/>
      <c r="N21" s="11"/>
      <c r="O21" s="11"/>
      <c r="P21" s="11"/>
      <c r="Q21" s="11"/>
      <c r="R21" s="11"/>
    </row>
    <row r="22" spans="1:18" ht="15" customHeight="1">
      <c r="A22" s="227" t="s">
        <v>35</v>
      </c>
      <c r="B22" s="187">
        <f>B21*B18</f>
        <v>349.55203714285716</v>
      </c>
      <c r="C22" s="226" t="s">
        <v>200</v>
      </c>
      <c r="D22" s="188"/>
      <c r="E22" s="220"/>
      <c r="F22" s="224"/>
      <c r="G22" s="224"/>
      <c r="H22" s="188"/>
      <c r="I22" s="11"/>
      <c r="J22" s="11"/>
      <c r="K22" s="11"/>
      <c r="L22" s="11"/>
      <c r="M22" s="11"/>
      <c r="N22" s="11"/>
      <c r="O22" s="11"/>
      <c r="P22" s="11"/>
      <c r="Q22" s="11"/>
      <c r="R22" s="11"/>
    </row>
    <row r="23" spans="1:18" ht="12.75" customHeight="1">
      <c r="A23" s="228" t="s">
        <v>34</v>
      </c>
      <c r="B23" s="229">
        <f>B22/G5</f>
        <v>77.67823047619048</v>
      </c>
      <c r="C23" s="230" t="s">
        <v>246</v>
      </c>
      <c r="D23" s="188"/>
      <c r="E23" s="220"/>
      <c r="F23" s="186"/>
      <c r="G23" s="188"/>
      <c r="H23" s="188"/>
      <c r="I23" s="11"/>
      <c r="J23" s="11"/>
      <c r="K23" s="11"/>
      <c r="L23" s="11"/>
      <c r="M23" s="11"/>
      <c r="N23" s="11"/>
      <c r="O23" s="11"/>
      <c r="P23" s="11"/>
      <c r="Q23" s="11"/>
      <c r="R23" s="11"/>
    </row>
    <row r="24" spans="1:18" ht="12.75" customHeight="1">
      <c r="A24" s="231"/>
      <c r="B24" s="232"/>
      <c r="C24" s="232"/>
      <c r="D24" s="233"/>
      <c r="E24" s="232"/>
      <c r="F24" s="233"/>
      <c r="G24" s="232"/>
      <c r="H24" s="232"/>
      <c r="I24" s="11"/>
      <c r="J24" s="11"/>
      <c r="K24" s="11"/>
      <c r="L24" s="11"/>
      <c r="M24" s="11"/>
      <c r="N24" s="11"/>
      <c r="O24" s="11"/>
      <c r="P24" s="11"/>
      <c r="Q24" s="11"/>
      <c r="R24" s="11"/>
    </row>
    <row r="25" spans="1:18" ht="12.75" customHeight="1">
      <c r="A25" s="14"/>
      <c r="B25" s="14"/>
      <c r="C25" s="11"/>
      <c r="D25" s="11"/>
      <c r="E25" s="11"/>
      <c r="F25" s="11"/>
      <c r="G25" s="11"/>
      <c r="H25" s="11"/>
      <c r="I25" s="11"/>
      <c r="J25" s="11"/>
      <c r="K25" s="11"/>
      <c r="L25" s="11"/>
      <c r="M25" s="11"/>
      <c r="N25" s="11"/>
      <c r="O25" s="11"/>
      <c r="P25" s="11"/>
      <c r="Q25" s="11"/>
      <c r="R25" s="11"/>
    </row>
    <row r="26" spans="1:18" ht="12.75" customHeight="1">
      <c r="A26" s="14"/>
      <c r="B26" s="14"/>
      <c r="C26" s="11"/>
      <c r="D26" s="15"/>
      <c r="E26" s="11"/>
      <c r="F26" s="11"/>
      <c r="G26" s="11"/>
      <c r="H26" s="11"/>
      <c r="I26" s="11"/>
      <c r="J26" s="11"/>
      <c r="K26" s="11"/>
      <c r="L26" s="11"/>
      <c r="M26" s="11"/>
      <c r="N26" s="11"/>
      <c r="O26" s="11"/>
      <c r="P26" s="11"/>
      <c r="Q26" s="11"/>
      <c r="R26" s="11"/>
    </row>
    <row r="27" spans="3:18" ht="14.25">
      <c r="C27" s="11"/>
      <c r="D27" s="14"/>
      <c r="E27" s="11"/>
      <c r="F27" s="11"/>
      <c r="G27" s="11"/>
      <c r="H27" s="11"/>
      <c r="I27" s="11"/>
      <c r="J27" s="11"/>
      <c r="K27" s="11"/>
      <c r="L27" s="11"/>
      <c r="M27" s="11"/>
      <c r="N27" s="11"/>
      <c r="O27" s="11"/>
      <c r="P27" s="11"/>
      <c r="Q27" s="11"/>
      <c r="R27" s="11"/>
    </row>
    <row r="28" spans="1:18" ht="12.75" customHeight="1">
      <c r="A28" s="11"/>
      <c r="B28" s="11"/>
      <c r="C28" s="11"/>
      <c r="D28" s="11"/>
      <c r="E28" s="11"/>
      <c r="F28" s="11"/>
      <c r="G28" s="11"/>
      <c r="H28" s="11"/>
      <c r="I28" s="11"/>
      <c r="J28" s="11"/>
      <c r="K28" s="11"/>
      <c r="L28" s="11"/>
      <c r="M28" s="11"/>
      <c r="N28" s="11"/>
      <c r="O28" s="11"/>
      <c r="P28" s="11"/>
      <c r="Q28" s="11"/>
      <c r="R28" s="11"/>
    </row>
    <row r="29" spans="1:18" ht="12.75" customHeight="1">
      <c r="A29" s="15"/>
      <c r="B29" s="14"/>
      <c r="C29" s="14"/>
      <c r="D29" s="11"/>
      <c r="E29" s="11"/>
      <c r="F29" s="11"/>
      <c r="G29" s="11"/>
      <c r="H29" s="11"/>
      <c r="I29" s="11"/>
      <c r="J29" s="11"/>
      <c r="K29" s="11"/>
      <c r="L29" s="11"/>
      <c r="M29" s="11"/>
      <c r="N29" s="11"/>
      <c r="O29" s="11"/>
      <c r="P29" s="11"/>
      <c r="Q29" s="11"/>
      <c r="R29" s="11"/>
    </row>
    <row r="30" spans="1:18" ht="12.75" customHeight="1">
      <c r="A30" s="17"/>
      <c r="B30" s="14"/>
      <c r="C30" s="14"/>
      <c r="D30" s="11"/>
      <c r="E30" s="16"/>
      <c r="F30" s="11"/>
      <c r="G30" s="11"/>
      <c r="H30" s="11"/>
      <c r="I30" s="11"/>
      <c r="J30" s="11"/>
      <c r="K30" s="11"/>
      <c r="L30" s="11"/>
      <c r="M30" s="11"/>
      <c r="N30" s="11"/>
      <c r="O30" s="11"/>
      <c r="P30" s="11"/>
      <c r="Q30" s="11"/>
      <c r="R30" s="11"/>
    </row>
    <row r="31" spans="1:18" ht="12.75" customHeight="1">
      <c r="A31" s="14"/>
      <c r="B31" s="14"/>
      <c r="C31" s="14"/>
      <c r="D31" s="11"/>
      <c r="E31" s="11"/>
      <c r="F31" s="11"/>
      <c r="G31" s="11"/>
      <c r="H31" s="11"/>
      <c r="I31" s="11"/>
      <c r="J31" s="11"/>
      <c r="K31" s="11"/>
      <c r="L31" s="11"/>
      <c r="M31" s="11"/>
      <c r="N31" s="11"/>
      <c r="O31" s="11"/>
      <c r="P31" s="11"/>
      <c r="Q31" s="11"/>
      <c r="R31" s="11"/>
    </row>
    <row r="32" spans="1:18" ht="12.75" customHeight="1">
      <c r="A32" s="14"/>
      <c r="B32" s="14"/>
      <c r="C32" s="14"/>
      <c r="D32" s="11"/>
      <c r="E32" s="11"/>
      <c r="F32" s="11"/>
      <c r="G32" s="11"/>
      <c r="H32" s="11"/>
      <c r="I32" s="11"/>
      <c r="J32" s="11"/>
      <c r="K32" s="11"/>
      <c r="L32" s="11"/>
      <c r="M32" s="11"/>
      <c r="N32" s="11"/>
      <c r="O32" s="11"/>
      <c r="P32" s="11"/>
      <c r="Q32" s="11"/>
      <c r="R32" s="11"/>
    </row>
    <row r="33" spans="1:18" ht="12.75" customHeight="1">
      <c r="A33" s="15"/>
      <c r="B33" s="14"/>
      <c r="C33" s="14"/>
      <c r="D33" s="11"/>
      <c r="E33" s="11"/>
      <c r="F33" s="11"/>
      <c r="G33" s="11"/>
      <c r="H33" s="11"/>
      <c r="I33" s="11"/>
      <c r="J33" s="11"/>
      <c r="K33" s="11"/>
      <c r="L33" s="11"/>
      <c r="M33" s="11"/>
      <c r="N33" s="11"/>
      <c r="O33" s="11"/>
      <c r="P33" s="11"/>
      <c r="Q33" s="11"/>
      <c r="R33" s="11"/>
    </row>
    <row r="34" spans="1:18" ht="12.75" customHeight="1">
      <c r="A34" s="14"/>
      <c r="B34" s="16"/>
      <c r="C34" s="14"/>
      <c r="D34" s="11"/>
      <c r="E34" s="11"/>
      <c r="F34" s="11"/>
      <c r="G34" s="11"/>
      <c r="H34" s="11"/>
      <c r="I34" s="11"/>
      <c r="J34" s="11"/>
      <c r="K34" s="11"/>
      <c r="L34" s="11"/>
      <c r="M34" s="11"/>
      <c r="N34" s="11"/>
      <c r="O34" s="11"/>
      <c r="P34" s="11"/>
      <c r="Q34" s="11"/>
      <c r="R34" s="11"/>
    </row>
    <row r="35" spans="1:18" ht="12.75" customHeight="1">
      <c r="A35" s="11"/>
      <c r="B35" s="11"/>
      <c r="C35" s="11"/>
      <c r="D35" s="11"/>
      <c r="E35" s="11"/>
      <c r="F35" s="11"/>
      <c r="G35" s="11"/>
      <c r="H35" s="11"/>
      <c r="I35" s="11"/>
      <c r="J35" s="11"/>
      <c r="K35" s="11"/>
      <c r="L35" s="11"/>
      <c r="M35" s="11"/>
      <c r="N35" s="11"/>
      <c r="O35" s="11"/>
      <c r="P35" s="11"/>
      <c r="Q35" s="11"/>
      <c r="R35" s="11"/>
    </row>
    <row r="36" spans="1:18" ht="12.75" customHeight="1">
      <c r="A36" s="11"/>
      <c r="B36" s="11"/>
      <c r="C36" s="11"/>
      <c r="D36" s="11"/>
      <c r="E36" s="11"/>
      <c r="F36" s="11"/>
      <c r="G36" s="11"/>
      <c r="H36" s="11"/>
      <c r="I36" s="11"/>
      <c r="J36" s="11"/>
      <c r="K36" s="11"/>
      <c r="L36" s="11"/>
      <c r="M36" s="11"/>
      <c r="N36" s="11"/>
      <c r="O36" s="11"/>
      <c r="P36" s="11"/>
      <c r="Q36" s="11"/>
      <c r="R36" s="11"/>
    </row>
    <row r="37" spans="1:18" ht="12.75" customHeight="1">
      <c r="A37" s="11"/>
      <c r="B37" s="11"/>
      <c r="C37" s="11"/>
      <c r="D37" s="11"/>
      <c r="E37" s="11"/>
      <c r="F37" s="11"/>
      <c r="G37" s="11"/>
      <c r="H37" s="11"/>
      <c r="I37" s="11"/>
      <c r="J37" s="11"/>
      <c r="K37" s="11"/>
      <c r="L37" s="11"/>
      <c r="M37" s="11"/>
      <c r="N37" s="11"/>
      <c r="O37" s="11"/>
      <c r="P37" s="11"/>
      <c r="Q37" s="11"/>
      <c r="R37" s="11"/>
    </row>
    <row r="38" spans="4:18" ht="12.75" customHeight="1">
      <c r="D38" s="11"/>
      <c r="E38" s="11"/>
      <c r="F38" s="11"/>
      <c r="G38" s="11"/>
      <c r="H38" s="11"/>
      <c r="I38" s="11"/>
      <c r="J38" s="11"/>
      <c r="K38" s="11"/>
      <c r="L38" s="11"/>
      <c r="M38" s="11"/>
      <c r="N38" s="11"/>
      <c r="O38" s="11"/>
      <c r="P38" s="11"/>
      <c r="Q38" s="11"/>
      <c r="R38" s="11"/>
    </row>
    <row r="39" spans="4:18" ht="12.75" customHeight="1">
      <c r="D39" s="11"/>
      <c r="E39" s="11"/>
      <c r="F39" s="11"/>
      <c r="G39" s="11"/>
      <c r="H39" s="11"/>
      <c r="I39" s="11"/>
      <c r="J39" s="11"/>
      <c r="K39" s="11"/>
      <c r="L39" s="11"/>
      <c r="M39" s="11"/>
      <c r="N39" s="11"/>
      <c r="O39" s="11"/>
      <c r="P39" s="11"/>
      <c r="Q39" s="11"/>
      <c r="R39" s="11"/>
    </row>
    <row r="40" spans="5:18" ht="12.75" customHeight="1">
      <c r="E40" s="11"/>
      <c r="F40" s="11"/>
      <c r="G40" s="11"/>
      <c r="H40" s="11"/>
      <c r="I40" s="11"/>
      <c r="J40" s="11"/>
      <c r="K40" s="11"/>
      <c r="L40" s="11"/>
      <c r="M40" s="11"/>
      <c r="N40" s="11"/>
      <c r="O40" s="11"/>
      <c r="P40" s="11"/>
      <c r="Q40" s="11"/>
      <c r="R40" s="11"/>
    </row>
    <row r="41" spans="5:18" ht="12.75" customHeight="1">
      <c r="E41" s="11"/>
      <c r="F41" s="11"/>
      <c r="G41" s="11"/>
      <c r="H41" s="11"/>
      <c r="I41" s="11"/>
      <c r="J41" s="11"/>
      <c r="K41" s="11"/>
      <c r="L41" s="11"/>
      <c r="M41" s="11"/>
      <c r="N41" s="11"/>
      <c r="O41" s="11"/>
      <c r="P41" s="11"/>
      <c r="Q41" s="11"/>
      <c r="R41" s="11"/>
    </row>
    <row r="42" spans="5:18" ht="12.75" customHeight="1">
      <c r="E42" s="11"/>
      <c r="F42" s="11"/>
      <c r="G42" s="11"/>
      <c r="H42" s="11"/>
      <c r="I42" s="11"/>
      <c r="J42" s="11"/>
      <c r="K42" s="11"/>
      <c r="L42" s="11"/>
      <c r="M42" s="11"/>
      <c r="N42" s="11"/>
      <c r="O42" s="11"/>
      <c r="P42" s="11"/>
      <c r="Q42" s="11"/>
      <c r="R42" s="11"/>
    </row>
    <row r="43" spans="6:8" ht="12.75" customHeight="1">
      <c r="F43" s="11"/>
      <c r="G43" s="11"/>
      <c r="H43" s="11"/>
    </row>
    <row r="44" spans="6:7" ht="12.75" customHeight="1">
      <c r="F44" s="11"/>
      <c r="G44" s="11"/>
    </row>
  </sheetData>
  <sheetProtection/>
  <mergeCells count="7">
    <mergeCell ref="A1:H1"/>
    <mergeCell ref="A9:D9"/>
    <mergeCell ref="A15:D15"/>
    <mergeCell ref="A20:C20"/>
    <mergeCell ref="F3:H3"/>
    <mergeCell ref="C10:D10"/>
    <mergeCell ref="A8:D8"/>
  </mergeCells>
  <printOptions/>
  <pageMargins left="0.75" right="0.75" top="1" bottom="1" header="0.5" footer="0.5"/>
  <pageSetup horizontalDpi="300" verticalDpi="300" orientation="landscape" paperSize="9"/>
  <legacyDrawing r:id="rId2"/>
</worksheet>
</file>

<file path=xl/worksheets/sheet8.xml><?xml version="1.0" encoding="utf-8"?>
<worksheet xmlns="http://schemas.openxmlformats.org/spreadsheetml/2006/main" xmlns:r="http://schemas.openxmlformats.org/officeDocument/2006/relationships">
  <dimension ref="A1:L42"/>
  <sheetViews>
    <sheetView zoomScale="85" zoomScaleNormal="85" zoomScalePageLayoutView="0" workbookViewId="0" topLeftCell="A1">
      <selection activeCell="E4" sqref="E4:F4"/>
    </sheetView>
  </sheetViews>
  <sheetFormatPr defaultColWidth="11.00390625" defaultRowHeight="12.75"/>
  <cols>
    <col min="1" max="1" width="30.75390625" style="0" customWidth="1"/>
    <col min="2" max="2" width="11.00390625" style="0" customWidth="1"/>
    <col min="3" max="3" width="17.00390625" style="0" customWidth="1"/>
    <col min="4" max="4" width="10.625" style="0" customWidth="1"/>
    <col min="5" max="5" width="14.125" style="0" customWidth="1"/>
    <col min="6" max="6" width="12.25390625" style="0" customWidth="1"/>
  </cols>
  <sheetData>
    <row r="1" spans="1:12" ht="14.25" customHeight="1">
      <c r="A1" s="683" t="s">
        <v>173</v>
      </c>
      <c r="B1" s="683"/>
      <c r="C1" s="683"/>
      <c r="D1" s="683"/>
      <c r="E1" s="683"/>
      <c r="F1" s="683"/>
      <c r="G1" s="23"/>
      <c r="H1" s="5"/>
      <c r="I1" s="5"/>
      <c r="J1" s="5"/>
      <c r="K1" s="5"/>
      <c r="L1" s="5"/>
    </row>
    <row r="2" spans="1:12" ht="14.25" customHeight="1" thickBot="1">
      <c r="A2" s="693"/>
      <c r="B2" s="693"/>
      <c r="C2" s="693"/>
      <c r="D2" s="693"/>
      <c r="E2" s="693"/>
      <c r="F2" s="693"/>
      <c r="G2" s="23"/>
      <c r="H2" s="5"/>
      <c r="I2" s="5"/>
      <c r="J2" s="5"/>
      <c r="K2" s="5"/>
      <c r="L2" s="5"/>
    </row>
    <row r="3" spans="1:12" ht="14.25" customHeight="1">
      <c r="A3" s="39"/>
      <c r="B3" s="39"/>
      <c r="C3" s="39"/>
      <c r="D3" s="23"/>
      <c r="E3" s="23"/>
      <c r="F3" s="23"/>
      <c r="G3" s="23"/>
      <c r="H3" s="5"/>
      <c r="I3" s="5"/>
      <c r="J3" s="5"/>
      <c r="K3" s="5"/>
      <c r="L3" s="5"/>
    </row>
    <row r="4" spans="1:12" ht="16.5" customHeight="1">
      <c r="A4" s="677" t="s">
        <v>136</v>
      </c>
      <c r="B4" s="678"/>
      <c r="C4" s="679"/>
      <c r="D4" s="23"/>
      <c r="E4" s="731" t="s">
        <v>57</v>
      </c>
      <c r="F4" s="732"/>
      <c r="G4" s="40"/>
      <c r="H4" s="5"/>
      <c r="I4" s="5"/>
      <c r="J4" s="5"/>
      <c r="K4" s="5"/>
      <c r="L4" s="5"/>
    </row>
    <row r="5" spans="1:12" ht="14.25">
      <c r="A5" s="152" t="s">
        <v>168</v>
      </c>
      <c r="B5" s="234">
        <f>ImportFuel</f>
        <v>302.55946024623404</v>
      </c>
      <c r="C5" s="154" t="s">
        <v>174</v>
      </c>
      <c r="D5" s="235"/>
      <c r="E5" s="546">
        <v>22.2</v>
      </c>
      <c r="F5" s="547" t="s">
        <v>48</v>
      </c>
      <c r="G5" s="23"/>
      <c r="H5" s="5"/>
      <c r="I5" s="5"/>
      <c r="J5" s="5"/>
      <c r="K5" s="5"/>
      <c r="L5" s="5"/>
    </row>
    <row r="6" spans="1:12" ht="14.25">
      <c r="A6" s="236" t="s">
        <v>169</v>
      </c>
      <c r="B6" s="234">
        <f>DisposalFuel</f>
        <v>77.67823047619048</v>
      </c>
      <c r="C6" s="154" t="s">
        <v>174</v>
      </c>
      <c r="D6" s="235"/>
      <c r="E6" s="548">
        <v>453.6</v>
      </c>
      <c r="F6" s="549" t="s">
        <v>238</v>
      </c>
      <c r="G6" s="23"/>
      <c r="H6" s="5"/>
      <c r="I6" s="5"/>
      <c r="J6" s="5"/>
      <c r="K6" s="5"/>
      <c r="L6" s="5"/>
    </row>
    <row r="7" spans="1:12" ht="15">
      <c r="A7" s="237" t="s">
        <v>176</v>
      </c>
      <c r="B7" s="238">
        <f>B5+B6</f>
        <v>380.23769072242453</v>
      </c>
      <c r="C7" s="239" t="s">
        <v>174</v>
      </c>
      <c r="D7" s="235"/>
      <c r="E7" s="235"/>
      <c r="F7" s="235"/>
      <c r="G7" s="23"/>
      <c r="H7" s="5"/>
      <c r="I7" s="5"/>
      <c r="J7" s="5"/>
      <c r="K7" s="5"/>
      <c r="L7" s="5"/>
    </row>
    <row r="8" spans="1:12" ht="14.25">
      <c r="A8" s="235"/>
      <c r="B8" s="235"/>
      <c r="C8" s="235"/>
      <c r="D8" s="235"/>
      <c r="E8" s="235"/>
      <c r="F8" s="235"/>
      <c r="G8" s="23"/>
      <c r="H8" s="5"/>
      <c r="I8" s="5"/>
      <c r="J8" s="5"/>
      <c r="K8" s="5"/>
      <c r="L8" s="5"/>
    </row>
    <row r="9" spans="1:12" ht="16.5" customHeight="1">
      <c r="A9" s="689" t="s">
        <v>170</v>
      </c>
      <c r="B9" s="690"/>
      <c r="C9" s="690"/>
      <c r="D9" s="690"/>
      <c r="E9" s="697"/>
      <c r="F9" s="235"/>
      <c r="G9" s="23"/>
      <c r="H9" s="5"/>
      <c r="I9" s="5"/>
      <c r="J9" s="5"/>
      <c r="K9" s="5"/>
      <c r="L9" s="5"/>
    </row>
    <row r="10" spans="1:11" ht="18" customHeight="1">
      <c r="A10" s="36" t="s">
        <v>172</v>
      </c>
      <c r="B10" s="729"/>
      <c r="C10" s="730"/>
      <c r="D10" s="727" t="s">
        <v>178</v>
      </c>
      <c r="E10" s="728"/>
      <c r="F10" s="23"/>
      <c r="G10" s="5"/>
      <c r="H10" s="5"/>
      <c r="I10" s="5"/>
      <c r="J10" s="5"/>
      <c r="K10" s="5"/>
    </row>
    <row r="11" spans="1:11" ht="15">
      <c r="A11" s="262" t="s">
        <v>171</v>
      </c>
      <c r="B11" s="263">
        <f>E5*E6</f>
        <v>10069.92</v>
      </c>
      <c r="C11" s="264" t="s">
        <v>137</v>
      </c>
      <c r="D11" s="265">
        <f aca="true" t="shared" si="0" ref="D11:D16">$B$7*B11/$E$6</f>
        <v>8441.276734037825</v>
      </c>
      <c r="E11" s="266" t="s">
        <v>234</v>
      </c>
      <c r="F11" s="131"/>
      <c r="G11" s="5"/>
      <c r="H11" s="5"/>
      <c r="I11" s="5"/>
      <c r="J11" s="5"/>
      <c r="K11" s="5"/>
    </row>
    <row r="12" spans="1:11" ht="15">
      <c r="A12" s="267" t="s">
        <v>41</v>
      </c>
      <c r="B12" s="263">
        <v>49.2</v>
      </c>
      <c r="C12" s="268" t="s">
        <v>137</v>
      </c>
      <c r="D12" s="265">
        <f t="shared" si="0"/>
        <v>41.24271248576562</v>
      </c>
      <c r="E12" s="269" t="s">
        <v>235</v>
      </c>
      <c r="F12" s="131"/>
      <c r="G12" s="5"/>
      <c r="H12" s="5"/>
      <c r="I12" s="5"/>
      <c r="J12" s="5"/>
      <c r="K12" s="5"/>
    </row>
    <row r="13" spans="1:11" ht="15">
      <c r="A13" s="267" t="s">
        <v>192</v>
      </c>
      <c r="B13" s="270">
        <v>0.110088</v>
      </c>
      <c r="C13" s="268" t="s">
        <v>137</v>
      </c>
      <c r="D13" s="265">
        <f t="shared" si="0"/>
        <v>0.0922830839864424</v>
      </c>
      <c r="E13" s="269" t="s">
        <v>191</v>
      </c>
      <c r="F13" s="131"/>
      <c r="G13" s="5"/>
      <c r="H13" s="5"/>
      <c r="I13" s="5"/>
      <c r="J13" s="5"/>
      <c r="K13" s="5"/>
    </row>
    <row r="14" spans="1:11" ht="15">
      <c r="A14" s="267" t="s">
        <v>189</v>
      </c>
      <c r="B14" s="271">
        <v>110</v>
      </c>
      <c r="C14" s="272" t="s">
        <v>137</v>
      </c>
      <c r="D14" s="265">
        <f t="shared" si="0"/>
        <v>92.20931653321581</v>
      </c>
      <c r="E14" s="269" t="s">
        <v>190</v>
      </c>
      <c r="F14" s="131"/>
      <c r="G14" s="5"/>
      <c r="H14" s="5"/>
      <c r="I14" s="5"/>
      <c r="J14" s="5"/>
      <c r="K14" s="5"/>
    </row>
    <row r="15" spans="1:11" ht="15">
      <c r="A15" s="267" t="s">
        <v>42</v>
      </c>
      <c r="B15" s="271">
        <v>9.09</v>
      </c>
      <c r="C15" s="272" t="s">
        <v>137</v>
      </c>
      <c r="D15" s="265">
        <f t="shared" si="0"/>
        <v>7.619842611699379</v>
      </c>
      <c r="E15" s="269" t="s">
        <v>236</v>
      </c>
      <c r="F15" s="131"/>
      <c r="G15" s="5"/>
      <c r="H15" s="5"/>
      <c r="I15" s="5"/>
      <c r="J15" s="5"/>
      <c r="K15" s="5"/>
    </row>
    <row r="16" spans="1:11" ht="15">
      <c r="A16" s="267" t="s">
        <v>43</v>
      </c>
      <c r="B16" s="271">
        <v>7.31</v>
      </c>
      <c r="C16" s="272" t="s">
        <v>137</v>
      </c>
      <c r="D16" s="265">
        <f t="shared" si="0"/>
        <v>6.127728216889159</v>
      </c>
      <c r="E16" s="269" t="s">
        <v>237</v>
      </c>
      <c r="F16" s="131"/>
      <c r="G16" s="5"/>
      <c r="H16" s="12"/>
      <c r="I16" s="13"/>
      <c r="J16" s="13"/>
      <c r="K16" s="5"/>
    </row>
    <row r="17" spans="1:7" ht="28.5">
      <c r="A17" s="273" t="s">
        <v>177</v>
      </c>
      <c r="B17" s="274">
        <v>3.93</v>
      </c>
      <c r="C17" s="275" t="s">
        <v>133</v>
      </c>
      <c r="D17" s="276">
        <f>$B$7*B17</f>
        <v>1494.3341245391284</v>
      </c>
      <c r="E17" s="277" t="s">
        <v>239</v>
      </c>
      <c r="F17" s="131"/>
      <c r="G17" s="5"/>
    </row>
    <row r="18" spans="1:8" ht="14.25">
      <c r="A18" s="131"/>
      <c r="B18" s="123"/>
      <c r="C18" s="131"/>
      <c r="D18" s="131"/>
      <c r="E18" s="131"/>
      <c r="F18" s="131"/>
      <c r="G18" s="23"/>
      <c r="H18" s="5"/>
    </row>
    <row r="19" spans="1:8" ht="14.25">
      <c r="A19" s="131"/>
      <c r="B19" s="131"/>
      <c r="C19" s="131"/>
      <c r="D19" s="131"/>
      <c r="E19" s="131"/>
      <c r="F19" s="131"/>
      <c r="G19" s="23"/>
      <c r="H19" s="5"/>
    </row>
    <row r="20" spans="1:8" ht="14.25">
      <c r="A20" s="131"/>
      <c r="B20" s="131"/>
      <c r="C20" s="131"/>
      <c r="D20" s="131"/>
      <c r="E20" s="131"/>
      <c r="F20" s="131"/>
      <c r="G20" s="23"/>
      <c r="H20" s="5"/>
    </row>
    <row r="21" spans="1:8" ht="14.25">
      <c r="A21" s="23"/>
      <c r="B21" s="23"/>
      <c r="C21" s="23"/>
      <c r="D21" s="23"/>
      <c r="E21" s="23"/>
      <c r="F21" s="23"/>
      <c r="G21" s="23"/>
      <c r="H21" s="5"/>
    </row>
    <row r="22" spans="1:8" ht="14.25">
      <c r="A22" s="23"/>
      <c r="B22" s="23"/>
      <c r="C22" s="23"/>
      <c r="D22" s="42"/>
      <c r="E22" s="23"/>
      <c r="F22" s="23"/>
      <c r="G22" s="23"/>
      <c r="H22" s="5"/>
    </row>
    <row r="23" spans="1:8" ht="15">
      <c r="A23" s="19"/>
      <c r="B23" s="8"/>
      <c r="C23" s="8"/>
      <c r="D23" s="8"/>
      <c r="E23" s="42"/>
      <c r="F23" s="23"/>
      <c r="G23" s="5"/>
      <c r="H23" s="5"/>
    </row>
    <row r="24" spans="1:8" ht="14.25">
      <c r="A24" s="8"/>
      <c r="B24" s="20"/>
      <c r="C24" s="8"/>
      <c r="D24" s="8"/>
      <c r="E24" s="8"/>
      <c r="F24" s="23"/>
      <c r="G24" s="5"/>
      <c r="H24" s="5"/>
    </row>
    <row r="25" spans="1:12" ht="14.25">
      <c r="A25" s="8"/>
      <c r="C25" s="8"/>
      <c r="D25" s="8"/>
      <c r="E25" s="8"/>
      <c r="F25" s="5"/>
      <c r="G25" s="5"/>
      <c r="H25" s="5"/>
      <c r="I25" s="5"/>
      <c r="J25" s="5"/>
      <c r="K25" s="5"/>
      <c r="L25" s="5"/>
    </row>
    <row r="26" spans="1:12" ht="14.25">
      <c r="A26" s="8"/>
      <c r="B26" s="8"/>
      <c r="C26" s="8"/>
      <c r="D26" s="8"/>
      <c r="E26" s="8"/>
      <c r="F26" s="5"/>
      <c r="G26" s="5"/>
      <c r="H26" s="5"/>
      <c r="I26" s="5"/>
      <c r="J26" s="5"/>
      <c r="K26" s="5"/>
      <c r="L26" s="5"/>
    </row>
    <row r="27" spans="1:12" ht="15">
      <c r="A27" s="19"/>
      <c r="B27" s="8"/>
      <c r="C27" s="8"/>
      <c r="D27" s="8"/>
      <c r="E27" s="8"/>
      <c r="F27" s="5"/>
      <c r="G27" s="5"/>
      <c r="H27" s="5"/>
      <c r="I27" s="5"/>
      <c r="J27" s="5"/>
      <c r="K27" s="5"/>
      <c r="L27" s="5"/>
    </row>
    <row r="28" spans="1:12" ht="14.25">
      <c r="A28" s="8"/>
      <c r="B28" s="20"/>
      <c r="C28" s="8"/>
      <c r="D28" s="8"/>
      <c r="E28" s="8"/>
      <c r="F28" s="5"/>
      <c r="G28" s="5"/>
      <c r="H28" s="5"/>
      <c r="I28" s="5"/>
      <c r="J28" s="5"/>
      <c r="K28" s="5"/>
      <c r="L28" s="5"/>
    </row>
    <row r="29" spans="1:8" ht="14.25">
      <c r="A29" s="8"/>
      <c r="B29" s="20"/>
      <c r="C29" s="8"/>
      <c r="D29" s="5"/>
      <c r="E29" s="8"/>
      <c r="F29" s="5"/>
      <c r="G29" s="5"/>
      <c r="H29" s="5"/>
    </row>
    <row r="30" spans="1:8" ht="14.25">
      <c r="A30" s="8"/>
      <c r="B30" s="20"/>
      <c r="C30" s="5"/>
      <c r="D30" s="5"/>
      <c r="E30" s="5"/>
      <c r="F30" s="5"/>
      <c r="G30" s="5"/>
      <c r="H30" s="5"/>
    </row>
    <row r="31" spans="1:8" ht="14.25">
      <c r="A31" s="8"/>
      <c r="B31" s="20"/>
      <c r="C31" s="5"/>
      <c r="D31" s="5"/>
      <c r="E31" s="5"/>
      <c r="F31" s="5"/>
      <c r="G31" s="5"/>
      <c r="H31" s="5"/>
    </row>
    <row r="32" spans="1:8" ht="14.25">
      <c r="A32" s="8"/>
      <c r="B32" s="20"/>
      <c r="C32" s="5"/>
      <c r="D32" s="5"/>
      <c r="E32" s="5"/>
      <c r="F32" s="5"/>
      <c r="G32" s="5"/>
      <c r="H32" s="5"/>
    </row>
    <row r="33" spans="1:8" ht="14.25">
      <c r="A33" s="8"/>
      <c r="B33" s="20"/>
      <c r="C33" s="5"/>
      <c r="D33" s="5"/>
      <c r="E33" s="5"/>
      <c r="F33" s="5"/>
      <c r="G33" s="5"/>
      <c r="H33" s="5"/>
    </row>
    <row r="34" spans="1:8" ht="14.25">
      <c r="A34" s="5"/>
      <c r="B34" s="5"/>
      <c r="C34" s="5"/>
      <c r="D34" s="5"/>
      <c r="E34" s="5"/>
      <c r="F34" s="5"/>
      <c r="G34" s="5"/>
      <c r="H34" s="5"/>
    </row>
    <row r="35" spans="1:8" ht="14.25">
      <c r="A35" s="5"/>
      <c r="B35" s="5"/>
      <c r="C35" s="5"/>
      <c r="D35" s="5"/>
      <c r="E35" s="5"/>
      <c r="F35" s="5"/>
      <c r="G35" s="5"/>
      <c r="H35" s="5"/>
    </row>
    <row r="36" spans="1:8" ht="14.25">
      <c r="A36" s="5"/>
      <c r="B36" s="5"/>
      <c r="C36" s="5"/>
      <c r="D36" s="5"/>
      <c r="E36" s="5"/>
      <c r="F36" s="5"/>
      <c r="G36" s="5"/>
      <c r="H36" s="5"/>
    </row>
    <row r="37" spans="1:8" ht="14.25">
      <c r="A37" s="5"/>
      <c r="B37" s="5"/>
      <c r="C37" s="5"/>
      <c r="D37" s="5"/>
      <c r="E37" s="5"/>
      <c r="F37" s="5"/>
      <c r="G37" s="5"/>
      <c r="H37" s="5"/>
    </row>
    <row r="38" spans="1:8" ht="14.25">
      <c r="A38" s="5"/>
      <c r="B38" s="5"/>
      <c r="C38" s="5"/>
      <c r="D38" s="5"/>
      <c r="E38" s="5"/>
      <c r="F38" s="5"/>
      <c r="G38" s="5"/>
      <c r="H38" s="5"/>
    </row>
    <row r="39" spans="1:8" ht="14.25">
      <c r="A39" s="5"/>
      <c r="B39" s="5"/>
      <c r="C39" s="5"/>
      <c r="E39" s="5"/>
      <c r="F39" s="5"/>
      <c r="G39" s="5"/>
      <c r="H39" s="5"/>
    </row>
    <row r="40" spans="6:8" ht="14.25">
      <c r="F40" s="5"/>
      <c r="G40" s="5"/>
      <c r="H40" s="5"/>
    </row>
    <row r="41" ht="14.25">
      <c r="F41" s="5"/>
    </row>
    <row r="42" ht="14.25">
      <c r="F42" s="5"/>
    </row>
  </sheetData>
  <sheetProtection/>
  <mergeCells count="6">
    <mergeCell ref="A1:F2"/>
    <mergeCell ref="D10:E10"/>
    <mergeCell ref="B10:C10"/>
    <mergeCell ref="A4:C4"/>
    <mergeCell ref="A9:E9"/>
    <mergeCell ref="E4:F4"/>
  </mergeCells>
  <printOptions/>
  <pageMargins left="0.75" right="0.75" top="1" bottom="1" header="0.5" footer="0.5"/>
  <pageSetup orientation="landscape" paperSize="9"/>
  <legacyDrawing r:id="rId2"/>
</worksheet>
</file>

<file path=xl/worksheets/sheet9.xml><?xml version="1.0" encoding="utf-8"?>
<worksheet xmlns="http://schemas.openxmlformats.org/spreadsheetml/2006/main" xmlns:r="http://schemas.openxmlformats.org/officeDocument/2006/relationships">
  <dimension ref="A1:L34"/>
  <sheetViews>
    <sheetView zoomScalePageLayoutView="0" workbookViewId="0" topLeftCell="A1">
      <selection activeCell="F4" sqref="F4:G4"/>
    </sheetView>
  </sheetViews>
  <sheetFormatPr defaultColWidth="11.00390625" defaultRowHeight="15" customHeight="1"/>
  <cols>
    <col min="1" max="1" width="26.25390625" style="0" customWidth="1"/>
    <col min="2" max="2" width="12.375" style="0" customWidth="1"/>
    <col min="3" max="3" width="14.00390625" style="0" customWidth="1"/>
    <col min="4" max="4" width="13.75390625" style="0" customWidth="1"/>
    <col min="5" max="5" width="10.375" style="0" customWidth="1"/>
    <col min="6" max="6" width="11.125" style="0" customWidth="1"/>
    <col min="7" max="7" width="14.00390625" style="0" customWidth="1"/>
  </cols>
  <sheetData>
    <row r="1" spans="1:9" ht="15" customHeight="1">
      <c r="A1" s="737" t="s">
        <v>150</v>
      </c>
      <c r="B1" s="737"/>
      <c r="C1" s="737"/>
      <c r="D1" s="737"/>
      <c r="E1" s="737"/>
      <c r="F1" s="737"/>
      <c r="G1" s="737"/>
      <c r="H1" s="28"/>
      <c r="I1" s="5"/>
    </row>
    <row r="2" spans="1:9" ht="15" customHeight="1" thickBot="1">
      <c r="A2" s="738"/>
      <c r="B2" s="738"/>
      <c r="C2" s="738"/>
      <c r="D2" s="738"/>
      <c r="E2" s="738"/>
      <c r="F2" s="738"/>
      <c r="G2" s="738"/>
      <c r="H2" s="28"/>
      <c r="I2" s="5"/>
    </row>
    <row r="3" spans="1:12" ht="15" customHeight="1">
      <c r="A3" s="29"/>
      <c r="B3" s="92"/>
      <c r="C3" s="93"/>
      <c r="D3" s="41"/>
      <c r="E3" s="41"/>
      <c r="F3" s="41"/>
      <c r="G3" s="41"/>
      <c r="H3" s="41"/>
      <c r="I3" s="19"/>
      <c r="J3" s="8"/>
      <c r="K3" s="8"/>
      <c r="L3" s="5"/>
    </row>
    <row r="4" spans="1:11" ht="15" customHeight="1">
      <c r="A4" s="734" t="s">
        <v>148</v>
      </c>
      <c r="B4" s="735"/>
      <c r="C4" s="736"/>
      <c r="D4" s="240"/>
      <c r="E4" s="94"/>
      <c r="F4" s="739" t="s">
        <v>57</v>
      </c>
      <c r="G4" s="740"/>
      <c r="H4" s="2"/>
      <c r="I4" s="18"/>
      <c r="J4" s="8"/>
      <c r="K4" s="8"/>
    </row>
    <row r="5" spans="1:11" ht="15" customHeight="1">
      <c r="A5" s="69" t="s">
        <v>149</v>
      </c>
      <c r="B5" s="70" t="s">
        <v>29</v>
      </c>
      <c r="C5" s="70" t="s">
        <v>153</v>
      </c>
      <c r="D5" s="95" t="s">
        <v>154</v>
      </c>
      <c r="E5" s="71"/>
      <c r="F5" s="526">
        <v>2.2</v>
      </c>
      <c r="G5" s="527" t="s">
        <v>114</v>
      </c>
      <c r="H5" s="96"/>
      <c r="I5" s="18"/>
      <c r="J5" s="19"/>
      <c r="K5" s="5"/>
    </row>
    <row r="6" spans="1:11" ht="15" customHeight="1">
      <c r="A6" s="72" t="s">
        <v>112</v>
      </c>
      <c r="B6" s="97">
        <f>PercentGPE</f>
        <v>0.1</v>
      </c>
      <c r="C6" s="73">
        <v>1.94</v>
      </c>
      <c r="D6" s="74">
        <v>83.1</v>
      </c>
      <c r="E6" s="98"/>
      <c r="F6" s="528">
        <v>16</v>
      </c>
      <c r="G6" s="529" t="s">
        <v>115</v>
      </c>
      <c r="H6" s="2"/>
      <c r="I6" s="4"/>
      <c r="J6" s="20"/>
      <c r="K6" s="5"/>
    </row>
    <row r="7" spans="1:11" ht="15" customHeight="1">
      <c r="A7" s="75" t="s">
        <v>74</v>
      </c>
      <c r="B7" s="99">
        <f>PercentHDDPE</f>
        <v>0.2</v>
      </c>
      <c r="C7" s="76">
        <v>1.6</v>
      </c>
      <c r="D7" s="77">
        <v>76.7</v>
      </c>
      <c r="E7" s="71"/>
      <c r="F7" s="526">
        <v>2.2046</v>
      </c>
      <c r="G7" s="527" t="s">
        <v>50</v>
      </c>
      <c r="H7" s="96"/>
      <c r="I7" s="8"/>
      <c r="K7" s="5"/>
    </row>
    <row r="8" spans="1:9" ht="15" customHeight="1">
      <c r="A8" s="75" t="s">
        <v>75</v>
      </c>
      <c r="B8" s="99">
        <f>RPercentHDPE</f>
        <v>0.1</v>
      </c>
      <c r="C8" s="78">
        <v>0.41</v>
      </c>
      <c r="D8" s="105">
        <v>18.6</v>
      </c>
      <c r="E8" s="244"/>
      <c r="F8" s="526">
        <v>35.27</v>
      </c>
      <c r="G8" s="527" t="s">
        <v>58</v>
      </c>
      <c r="H8" s="2"/>
      <c r="I8" s="8"/>
    </row>
    <row r="9" spans="1:12" ht="15" customHeight="1">
      <c r="A9" s="241" t="s">
        <v>76</v>
      </c>
      <c r="B9" s="242">
        <f>PercentLDPE</f>
        <v>0.6</v>
      </c>
      <c r="C9" s="243">
        <v>1.7</v>
      </c>
      <c r="D9" s="183">
        <v>78.1</v>
      </c>
      <c r="E9" s="71"/>
      <c r="F9" s="526">
        <v>3600000</v>
      </c>
      <c r="G9" s="527" t="s">
        <v>59</v>
      </c>
      <c r="H9" s="21"/>
      <c r="L9" s="5"/>
    </row>
    <row r="10" spans="5:9" ht="15" customHeight="1">
      <c r="E10" s="245"/>
      <c r="F10" s="530">
        <v>3.6</v>
      </c>
      <c r="G10" s="531" t="s">
        <v>92</v>
      </c>
      <c r="H10" s="2"/>
      <c r="I10" s="5"/>
    </row>
    <row r="11" spans="1:9" ht="15" customHeight="1">
      <c r="A11" s="734" t="s">
        <v>147</v>
      </c>
      <c r="B11" s="735"/>
      <c r="C11" s="736"/>
      <c r="D11" s="41"/>
      <c r="E11" s="71"/>
      <c r="F11" s="526">
        <v>12.5</v>
      </c>
      <c r="G11" s="527" t="s">
        <v>179</v>
      </c>
      <c r="H11" s="2"/>
      <c r="I11" s="5"/>
    </row>
    <row r="12" spans="1:9" ht="15" customHeight="1">
      <c r="A12" s="82">
        <f>$B$6*C6+$B$7*C7+$B$8*C8+$B$9*C9</f>
        <v>1.5750000000000002</v>
      </c>
      <c r="B12" s="83" t="s">
        <v>77</v>
      </c>
      <c r="C12" s="84"/>
      <c r="D12" s="48"/>
      <c r="E12" s="93"/>
      <c r="F12" s="532">
        <v>0.2</v>
      </c>
      <c r="G12" s="533" t="s">
        <v>94</v>
      </c>
      <c r="H12" s="2"/>
      <c r="I12" s="5"/>
    </row>
    <row r="13" spans="1:11" ht="15" customHeight="1">
      <c r="A13" s="85">
        <f>$B$6*D6+$B$7*D7+$B$8*D8+$B$9*D9</f>
        <v>72.36999999999999</v>
      </c>
      <c r="B13" s="86" t="s">
        <v>28</v>
      </c>
      <c r="C13" s="45"/>
      <c r="D13" s="87"/>
      <c r="E13" s="31"/>
      <c r="F13" s="536" t="s">
        <v>252</v>
      </c>
      <c r="G13" s="537"/>
      <c r="H13" s="2"/>
      <c r="I13" s="5"/>
      <c r="J13" s="117"/>
      <c r="K13" s="117"/>
    </row>
    <row r="14" spans="1:11" ht="15" customHeight="1">
      <c r="A14" s="41"/>
      <c r="B14" s="80"/>
      <c r="C14" s="88"/>
      <c r="D14" s="41"/>
      <c r="E14" s="79"/>
      <c r="F14" s="534">
        <v>10</v>
      </c>
      <c r="G14" s="535" t="s">
        <v>253</v>
      </c>
      <c r="H14" s="2"/>
      <c r="J14" s="117"/>
      <c r="K14" s="117"/>
    </row>
    <row r="15" spans="1:11" ht="15" customHeight="1">
      <c r="A15" s="89" t="s">
        <v>122</v>
      </c>
      <c r="B15" s="90">
        <f>MetricBagWeight</f>
        <v>18914.99591762678</v>
      </c>
      <c r="C15" s="91" t="s">
        <v>151</v>
      </c>
      <c r="D15" s="41"/>
      <c r="E15" s="79"/>
      <c r="F15" s="532">
        <v>18</v>
      </c>
      <c r="G15" s="533" t="s">
        <v>254</v>
      </c>
      <c r="H15" s="339"/>
      <c r="I15" s="339"/>
      <c r="J15" s="348"/>
      <c r="K15" s="117"/>
    </row>
    <row r="16" spans="1:11" ht="15" customHeight="1">
      <c r="A16" s="41"/>
      <c r="B16" s="90"/>
      <c r="C16" s="90"/>
      <c r="D16" s="41"/>
      <c r="E16" s="41"/>
      <c r="F16" s="31"/>
      <c r="G16" s="339"/>
      <c r="H16" s="339"/>
      <c r="I16" s="339"/>
      <c r="J16" s="348"/>
      <c r="K16" s="117"/>
    </row>
    <row r="17" spans="1:11" ht="15" customHeight="1">
      <c r="A17" s="734" t="s">
        <v>113</v>
      </c>
      <c r="B17" s="735"/>
      <c r="C17" s="736"/>
      <c r="D17" s="41"/>
      <c r="E17" s="31"/>
      <c r="F17" s="31"/>
      <c r="G17" s="339"/>
      <c r="H17" s="339"/>
      <c r="I17" s="339"/>
      <c r="J17" s="348"/>
      <c r="K17" s="117"/>
    </row>
    <row r="18" spans="1:11" ht="28.5">
      <c r="A18" s="347" t="s">
        <v>152</v>
      </c>
      <c r="B18" s="362">
        <v>0.33</v>
      </c>
      <c r="C18" s="360"/>
      <c r="D18" s="48"/>
      <c r="E18" s="31"/>
      <c r="F18" s="31"/>
      <c r="G18" s="339"/>
      <c r="H18" s="339"/>
      <c r="I18" s="339"/>
      <c r="J18" s="348"/>
      <c r="K18" s="117"/>
    </row>
    <row r="19" spans="1:11" ht="15" customHeight="1">
      <c r="A19" s="347" t="s">
        <v>32</v>
      </c>
      <c r="B19" s="361">
        <f>B15+B15*B18</f>
        <v>25156.94457044362</v>
      </c>
      <c r="C19" s="373" t="s">
        <v>70</v>
      </c>
      <c r="D19" s="48"/>
      <c r="E19" s="31"/>
      <c r="F19" s="31"/>
      <c r="G19" s="339"/>
      <c r="H19" s="339"/>
      <c r="I19" s="339"/>
      <c r="J19" s="348"/>
      <c r="K19" s="117"/>
    </row>
    <row r="20" spans="1:11" ht="15" customHeight="1">
      <c r="A20" s="733" t="s">
        <v>255</v>
      </c>
      <c r="B20" s="368">
        <f>((18*3.6/10)+20)/2</f>
        <v>13.24</v>
      </c>
      <c r="C20" s="176" t="s">
        <v>93</v>
      </c>
      <c r="D20" s="81"/>
      <c r="E20" s="31"/>
      <c r="F20" s="31"/>
      <c r="G20" s="31"/>
      <c r="H20" s="2"/>
      <c r="I20" s="5"/>
      <c r="J20" s="117"/>
      <c r="K20" s="117"/>
    </row>
    <row r="21" spans="1:9" ht="15" customHeight="1">
      <c r="A21" s="733"/>
      <c r="B21" s="369"/>
      <c r="C21" s="179"/>
      <c r="D21" s="48"/>
      <c r="E21" s="31"/>
      <c r="F21" s="31"/>
      <c r="G21" s="31"/>
      <c r="H21" s="2"/>
      <c r="I21" s="5"/>
    </row>
    <row r="22" spans="1:9" ht="15" customHeight="1">
      <c r="A22" s="733" t="s">
        <v>31</v>
      </c>
      <c r="B22" s="370">
        <f>PlasticMixEE*AdjustedBagWeight</f>
        <v>1820608.0785630045</v>
      </c>
      <c r="C22" s="176" t="s">
        <v>30</v>
      </c>
      <c r="D22" s="37"/>
      <c r="E22" s="31"/>
      <c r="F22" s="29"/>
      <c r="G22" s="93"/>
      <c r="H22" s="2"/>
      <c r="I22" s="5"/>
    </row>
    <row r="23" spans="1:9" ht="15" customHeight="1">
      <c r="A23" s="733"/>
      <c r="B23" s="371"/>
      <c r="C23" s="179"/>
      <c r="D23" s="48"/>
      <c r="E23" s="31"/>
      <c r="F23" s="31"/>
      <c r="G23" s="31"/>
      <c r="H23" s="2"/>
      <c r="I23" s="5"/>
    </row>
    <row r="24" spans="1:9" ht="15" customHeight="1">
      <c r="A24" s="733" t="s">
        <v>259</v>
      </c>
      <c r="B24" s="372">
        <f>B19*B20</f>
        <v>333077.9461126735</v>
      </c>
      <c r="C24" s="176" t="s">
        <v>30</v>
      </c>
      <c r="D24" s="48"/>
      <c r="E24" s="31"/>
      <c r="F24" s="31"/>
      <c r="G24" s="31"/>
      <c r="H24" s="2"/>
      <c r="I24" s="5"/>
    </row>
    <row r="25" spans="1:9" ht="15" customHeight="1">
      <c r="A25" s="733"/>
      <c r="B25" s="366"/>
      <c r="C25" s="236"/>
      <c r="D25" s="48"/>
      <c r="E25" s="31"/>
      <c r="F25" s="31"/>
      <c r="G25" s="31"/>
      <c r="H25" s="2"/>
      <c r="I25" s="5"/>
    </row>
    <row r="26" spans="1:9" ht="15" customHeight="1">
      <c r="A26" s="733"/>
      <c r="B26" s="367"/>
      <c r="C26" s="365"/>
      <c r="D26" s="41"/>
      <c r="E26" s="31"/>
      <c r="F26" s="31"/>
      <c r="G26" s="31"/>
      <c r="H26" s="2"/>
      <c r="I26" s="5"/>
    </row>
    <row r="27" spans="1:9" ht="15" customHeight="1">
      <c r="A27" s="246" t="s">
        <v>197</v>
      </c>
      <c r="B27" s="247">
        <f>B22+B24</f>
        <v>2153686.024675678</v>
      </c>
      <c r="C27" s="248" t="s">
        <v>30</v>
      </c>
      <c r="D27" s="23"/>
      <c r="E27" s="31"/>
      <c r="F27" s="32"/>
      <c r="G27" s="32"/>
      <c r="H27" s="2"/>
      <c r="I27" s="5"/>
    </row>
    <row r="28" spans="4:9" ht="15" customHeight="1">
      <c r="D28" s="32"/>
      <c r="E28" s="31"/>
      <c r="F28" s="32"/>
      <c r="G28" s="32"/>
      <c r="H28" s="2"/>
      <c r="I28" s="5"/>
    </row>
    <row r="29" spans="4:9" ht="15" customHeight="1">
      <c r="D29" s="32"/>
      <c r="E29" s="32"/>
      <c r="F29" s="32"/>
      <c r="G29" s="32"/>
      <c r="H29" s="5"/>
      <c r="I29" s="5"/>
    </row>
    <row r="30" spans="5:9" ht="15" customHeight="1">
      <c r="E30" s="32"/>
      <c r="H30" s="5"/>
      <c r="I30" s="5"/>
    </row>
    <row r="31" spans="5:9" ht="15" customHeight="1">
      <c r="E31" s="32"/>
      <c r="H31" s="5"/>
      <c r="I31" s="5"/>
    </row>
    <row r="32" spans="5:9" ht="15" customHeight="1">
      <c r="E32" s="32"/>
      <c r="H32" s="5"/>
      <c r="I32" s="5"/>
    </row>
    <row r="33" spans="5:9" ht="15" customHeight="1">
      <c r="E33" s="32"/>
      <c r="H33" s="5"/>
      <c r="I33" s="5"/>
    </row>
    <row r="34" spans="8:9" ht="15" customHeight="1">
      <c r="H34" s="5"/>
      <c r="I34" s="5"/>
    </row>
  </sheetData>
  <sheetProtection/>
  <mergeCells count="8">
    <mergeCell ref="A24:A26"/>
    <mergeCell ref="A17:C17"/>
    <mergeCell ref="A11:C11"/>
    <mergeCell ref="A1:G2"/>
    <mergeCell ref="F4:G4"/>
    <mergeCell ref="A4:C4"/>
    <mergeCell ref="A20:A21"/>
    <mergeCell ref="A22:A23"/>
  </mergeCells>
  <printOptions/>
  <pageMargins left="0.75" right="0.75" top="1" bottom="1" header="0.5" footer="0.5"/>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Arcata Plastic Bags</dc:title>
  <dc:subject/>
  <dc:creator>Lonny Grafman</dc:creator>
  <cp:keywords/>
  <dc:description>See http://www.appropedia.org/Arcata_plastic_bags for more.</dc:description>
  <cp:lastModifiedBy>BBcompu</cp:lastModifiedBy>
  <cp:lastPrinted>2010-12-15T18:14:40Z</cp:lastPrinted>
  <dcterms:created xsi:type="dcterms:W3CDTF">2010-12-15T06:23:21Z</dcterms:created>
  <dcterms:modified xsi:type="dcterms:W3CDTF">2011-06-09T20:59:33Z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